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3" activeTab="3"/>
  </bookViews>
  <sheets>
    <sheet name="Levy_Guide" sheetId="1" state="hidden" r:id="rId1"/>
    <sheet name="Public_Holidays" sheetId="2" state="hidden" r:id="rId2"/>
    <sheet name="Database" sheetId="3" state="hidden" r:id="rId3"/>
    <sheet name="Levy_Forms" sheetId="4" r:id="rId4"/>
  </sheets>
  <definedNames>
    <definedName name="Month_List">'Public_Holidays'!$G$2:$G$13</definedName>
  </definedNames>
  <calcPr fullCalcOnLoad="1"/>
</workbook>
</file>

<file path=xl/sharedStrings.xml><?xml version="1.0" encoding="utf-8"?>
<sst xmlns="http://schemas.openxmlformats.org/spreadsheetml/2006/main" count="202" uniqueCount="117">
  <si>
    <t>INLAND REVENUE DEPARTMENT</t>
  </si>
  <si>
    <t>EDUCATION LEVY DEDUCTION FORM</t>
  </si>
  <si>
    <t>How many employees are in your organization?</t>
  </si>
  <si>
    <t>Click here to add the required pages</t>
  </si>
  <si>
    <t>New Year Day</t>
  </si>
  <si>
    <t>Good Friday</t>
  </si>
  <si>
    <t>Easter Monday</t>
  </si>
  <si>
    <t>Labour Day</t>
  </si>
  <si>
    <t>Whit Monday</t>
  </si>
  <si>
    <t>Carnival Monday</t>
  </si>
  <si>
    <t>Carnival Tuesday</t>
  </si>
  <si>
    <t>Independence Day</t>
  </si>
  <si>
    <t>Christmas Day</t>
  </si>
  <si>
    <t>Boxing Day</t>
  </si>
  <si>
    <t>Holiday</t>
  </si>
  <si>
    <t>HDate</t>
  </si>
  <si>
    <t>Months</t>
  </si>
  <si>
    <t>January</t>
  </si>
  <si>
    <t>February</t>
  </si>
  <si>
    <t>March</t>
  </si>
  <si>
    <t>April</t>
  </si>
  <si>
    <t>May</t>
  </si>
  <si>
    <t>June</t>
  </si>
  <si>
    <t>July</t>
  </si>
  <si>
    <t>August</t>
  </si>
  <si>
    <t>September</t>
  </si>
  <si>
    <t>October</t>
  </si>
  <si>
    <t>November</t>
  </si>
  <si>
    <t>December</t>
  </si>
  <si>
    <t>MthOfYr</t>
  </si>
  <si>
    <t>DayOfWk</t>
  </si>
  <si>
    <t>Less Deductions</t>
  </si>
  <si>
    <t>Monthly</t>
  </si>
  <si>
    <t>Weekly</t>
  </si>
  <si>
    <t>Fornightly</t>
  </si>
  <si>
    <t>Bimonthly</t>
  </si>
  <si>
    <t>WkOfYr</t>
  </si>
  <si>
    <t>FOR OFFICIAL USE ONLY</t>
  </si>
  <si>
    <t>REF# …………………………..</t>
  </si>
  <si>
    <t>INV #……………………………</t>
  </si>
  <si>
    <t>Employer</t>
  </si>
  <si>
    <t>File No.</t>
  </si>
  <si>
    <t>Address</t>
  </si>
  <si>
    <t>Tel</t>
  </si>
  <si>
    <t>I.D. No.</t>
  </si>
  <si>
    <t>For the month of</t>
  </si>
  <si>
    <t>Year</t>
  </si>
  <si>
    <t>Soc. Security Number</t>
  </si>
  <si>
    <t>Name of Employee</t>
  </si>
  <si>
    <t>Salary</t>
  </si>
  <si>
    <t>Total</t>
  </si>
  <si>
    <t>Deduction</t>
  </si>
  <si>
    <t>No. Of weeks worked</t>
  </si>
  <si>
    <t>W</t>
  </si>
  <si>
    <t>Comments</t>
  </si>
  <si>
    <t>Monthly/Weekly</t>
  </si>
  <si>
    <t>F</t>
  </si>
  <si>
    <t>Gross Income</t>
  </si>
  <si>
    <t>B</t>
  </si>
  <si>
    <t>M</t>
  </si>
  <si>
    <t>TOTAL</t>
  </si>
  <si>
    <t>It is hereby certified that the information noted above is correct.</t>
  </si>
  <si>
    <t>Date………………….</t>
  </si>
  <si>
    <t>Friday</t>
  </si>
  <si>
    <t>Pay Type</t>
  </si>
  <si>
    <t>Unexpected1</t>
  </si>
  <si>
    <t>Unexpected2</t>
  </si>
  <si>
    <t>Unexpected3</t>
  </si>
  <si>
    <t>Unexpected4</t>
  </si>
  <si>
    <t>MINISTRY OF FINANCE ANDCORPORATE GOVERNANCE</t>
  </si>
  <si>
    <t>Holidays</t>
  </si>
  <si>
    <t>Week 1</t>
  </si>
  <si>
    <t>Week 2</t>
  </si>
  <si>
    <t>Week 3</t>
  </si>
  <si>
    <t>Week 4</t>
  </si>
  <si>
    <t>Week 5</t>
  </si>
  <si>
    <t>Week</t>
  </si>
  <si>
    <t>Sunday</t>
  </si>
  <si>
    <t>Monday</t>
  </si>
  <si>
    <t>Tuesday</t>
  </si>
  <si>
    <t>Wednesday</t>
  </si>
  <si>
    <t>Thursday</t>
  </si>
  <si>
    <t>Saturday</t>
  </si>
  <si>
    <t>Pay day is on</t>
  </si>
  <si>
    <t>&lt;==Hidden</t>
  </si>
  <si>
    <t>Bi-Mth</t>
  </si>
  <si>
    <t>MINISTRY OF FINANCE AND AND CORPORATE GOVERNANCE</t>
  </si>
  <si>
    <t>Employer I.D.</t>
  </si>
  <si>
    <t>Tel. No.</t>
  </si>
  <si>
    <t>Preparation</t>
  </si>
  <si>
    <t>Month</t>
  </si>
  <si>
    <t>Pay Day</t>
  </si>
  <si>
    <t xml:space="preserve">17. (1)  Every  employer shall deduct the  levy, at the rate  prescibed in Section 14, from the monthly or weekly wages of every person employed by him.
      (2) Any levy deducted by an employer under this section shall be paid to the Commissioner on or before the seventh day of each month.
18. (1) Every self-employed person shall pay the levy, prescribed in section 14, to the Commissioner on or before the seventh day of each month.
</t>
  </si>
  <si>
    <t>17. (1)  Every  employer shall deduct the  levy, at the rate  prescibed in Section 14, from the monthly or weekly wages of every person employed by him.
      (2) Any levy deducted by an employer under this section shall be paid to the Commissioner on or before the seventh day of each month.
18. (1) Every self-employed person shall pay the levy, prescribed in section 14, to the Commissioner on or before the seventh day of each month.</t>
  </si>
  <si>
    <t>No. of Empl.</t>
  </si>
  <si>
    <t>Week Start #</t>
  </si>
  <si>
    <t>Prepared by:</t>
  </si>
  <si>
    <t>Signature: ……………………………………………</t>
  </si>
  <si>
    <t>SSNo</t>
  </si>
  <si>
    <t>Last_Name</t>
  </si>
  <si>
    <t>First_Name</t>
  </si>
  <si>
    <t>Initials</t>
  </si>
  <si>
    <t>Gender</t>
  </si>
  <si>
    <t>DoB</t>
  </si>
  <si>
    <t>Pay_Type</t>
  </si>
  <si>
    <t>Occupation</t>
  </si>
  <si>
    <t>Employment_Start_Date</t>
  </si>
  <si>
    <t>Employment_End_Date</t>
  </si>
  <si>
    <t>Include</t>
  </si>
  <si>
    <t>Week_1</t>
  </si>
  <si>
    <t>Week_2</t>
  </si>
  <si>
    <t>Week_3</t>
  </si>
  <si>
    <t>Week_4</t>
  </si>
  <si>
    <t>Week_5</t>
  </si>
  <si>
    <t>E-Mail</t>
  </si>
  <si>
    <t>V. C. Bird Day</t>
  </si>
  <si>
    <t>JANE DOE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</si>
</sst>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lt;=9999999]###\-####;\(###\)\ ###\-####"/>
    <numFmt numFmtId="177" formatCode="[$€-2]\ #,##0.00_);[Red]\([$€-2]\ #,##0.00\)"/>
    <numFmt numFmtId="178" formatCode="[$-409]dddd\,\ mmmm\ d\,\ yyyy"/>
    <numFmt numFmtId="179" formatCode="00000"/>
  </numFmts>
  <fonts count="75">
    <font>
      <sz val="10"/>
      <name val="Arial"/>
      <family val="0"/>
    </font>
    <font>
      <b/>
      <sz val="12"/>
      <name val="Bookman Old Style"/>
      <family val="1"/>
    </font>
    <font>
      <b/>
      <sz val="10"/>
      <name val="Arial"/>
      <family val="2"/>
    </font>
    <font>
      <b/>
      <sz val="12"/>
      <name val="Arial"/>
      <family val="2"/>
    </font>
    <font>
      <i/>
      <sz val="10"/>
      <name val="Arial"/>
      <family val="2"/>
    </font>
    <font>
      <b/>
      <sz val="9"/>
      <name val="Bookman Old Style"/>
      <family val="1"/>
    </font>
    <font>
      <b/>
      <sz val="12"/>
      <name val="Times New Roman"/>
      <family val="1"/>
    </font>
    <font>
      <b/>
      <sz val="10"/>
      <name val="Bookman Old Style"/>
      <family val="1"/>
    </font>
    <font>
      <b/>
      <sz val="10"/>
      <name val="Times New Roman"/>
      <family val="1"/>
    </font>
    <font>
      <sz val="12"/>
      <name val="Times New Roman"/>
      <family val="1"/>
    </font>
    <font>
      <b/>
      <sz val="9"/>
      <name val="Times New Roman"/>
      <family val="1"/>
    </font>
    <font>
      <sz val="9"/>
      <name val="Calibri"/>
      <family val="2"/>
    </font>
    <font>
      <b/>
      <u val="single"/>
      <sz val="9"/>
      <name val="Calibri"/>
      <family val="2"/>
    </font>
    <font>
      <sz val="9"/>
      <name val="Symbol"/>
      <family val="1"/>
    </font>
    <font>
      <b/>
      <sz val="8"/>
      <name val="Bookman Old Style"/>
      <family val="1"/>
    </font>
    <font>
      <sz val="11"/>
      <name val="Calibri"/>
      <family val="2"/>
    </font>
    <font>
      <b/>
      <sz val="11"/>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10"/>
      <color indexed="9"/>
      <name val="Arial"/>
      <family val="2"/>
    </font>
    <font>
      <b/>
      <sz val="12"/>
      <color indexed="9"/>
      <name val="Arial"/>
      <family val="2"/>
    </font>
    <font>
      <b/>
      <sz val="10"/>
      <color indexed="9"/>
      <name val="Arial"/>
      <family val="2"/>
    </font>
    <font>
      <sz val="12"/>
      <color indexed="9"/>
      <name val="Arial"/>
      <family val="2"/>
    </font>
    <font>
      <b/>
      <sz val="9"/>
      <color indexed="62"/>
      <name val="Cambria"/>
      <family val="1"/>
    </font>
    <font>
      <sz val="10"/>
      <color indexed="8"/>
      <name val="Tahoma"/>
      <family val="2"/>
    </font>
    <font>
      <b/>
      <sz val="11"/>
      <color indexed="63"/>
      <name val="Arial"/>
      <family val="2"/>
    </font>
    <font>
      <sz val="12"/>
      <color indexed="8"/>
      <name val="Arial"/>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0"/>
      <color theme="0"/>
      <name val="Arial"/>
      <family val="2"/>
    </font>
    <font>
      <b/>
      <sz val="12"/>
      <color theme="0"/>
      <name val="Arial"/>
      <family val="2"/>
    </font>
    <font>
      <b/>
      <sz val="10"/>
      <color theme="0"/>
      <name val="Arial"/>
      <family val="2"/>
    </font>
    <font>
      <sz val="12"/>
      <color theme="0"/>
      <name val="Arial"/>
      <family val="2"/>
    </font>
    <font>
      <b/>
      <sz val="9"/>
      <color rgb="FF365F91"/>
      <name val="Cambria"/>
      <family val="1"/>
    </font>
    <font>
      <sz val="10"/>
      <color rgb="FF000000"/>
      <name val="Tahoma"/>
      <family val="2"/>
    </font>
    <font>
      <b/>
      <sz val="11"/>
      <color rgb="FF282828"/>
      <name val="Arial"/>
      <family val="2"/>
    </font>
    <font>
      <sz val="12"/>
      <color rgb="FF0A010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0">
    <xf numFmtId="0" fontId="0" fillId="0" borderId="0" xfId="0" applyAlignment="1">
      <alignment/>
    </xf>
    <xf numFmtId="0" fontId="0" fillId="0" borderId="0" xfId="0" applyFill="1" applyAlignment="1" applyProtection="1">
      <alignment/>
      <protection hidden="1"/>
    </xf>
    <xf numFmtId="0" fontId="3" fillId="0" borderId="0" xfId="0" applyFont="1" applyFill="1" applyAlignment="1" applyProtection="1">
      <alignment horizontal="center" wrapText="1"/>
      <protection hidden="1"/>
    </xf>
    <xf numFmtId="0" fontId="0" fillId="22" borderId="0" xfId="0" applyFill="1" applyAlignment="1" applyProtection="1">
      <alignment/>
      <protection hidden="1"/>
    </xf>
    <xf numFmtId="44" fontId="1" fillId="22" borderId="0" xfId="44" applyFont="1" applyFill="1" applyAlignment="1" applyProtection="1">
      <alignment horizontal="center"/>
      <protection hidden="1"/>
    </xf>
    <xf numFmtId="0" fontId="1" fillId="22" borderId="0" xfId="0" applyFont="1" applyFill="1" applyAlignment="1" applyProtection="1">
      <alignment horizontal="center"/>
      <protection hidden="1"/>
    </xf>
    <xf numFmtId="0" fontId="3" fillId="22" borderId="0" xfId="0" applyFont="1" applyFill="1" applyAlignment="1" applyProtection="1">
      <alignment horizontal="center" wrapText="1"/>
      <protection hidden="1"/>
    </xf>
    <xf numFmtId="0" fontId="0" fillId="22" borderId="0" xfId="0" applyFont="1" applyFill="1" applyAlignment="1" applyProtection="1">
      <alignment/>
      <protection hidden="1"/>
    </xf>
    <xf numFmtId="0" fontId="66" fillId="22" borderId="0" xfId="0" applyFont="1" applyFill="1" applyAlignment="1" applyProtection="1">
      <alignment/>
      <protection hidden="1"/>
    </xf>
    <xf numFmtId="0" fontId="67" fillId="22" borderId="0" xfId="0" applyFont="1" applyFill="1" applyAlignment="1" applyProtection="1">
      <alignment/>
      <protection hidden="1"/>
    </xf>
    <xf numFmtId="0" fontId="68" fillId="22" borderId="0" xfId="0" applyFont="1" applyFill="1" applyAlignment="1" applyProtection="1">
      <alignment horizontal="center" wrapText="1"/>
      <protection hidden="1"/>
    </xf>
    <xf numFmtId="14" fontId="67" fillId="22" borderId="0" xfId="0" applyNumberFormat="1" applyFont="1" applyFill="1" applyAlignment="1" applyProtection="1">
      <alignment/>
      <protection hidden="1"/>
    </xf>
    <xf numFmtId="0" fontId="69" fillId="22" borderId="0" xfId="0" applyFont="1" applyFill="1" applyAlignment="1" applyProtection="1">
      <alignment/>
      <protection hidden="1"/>
    </xf>
    <xf numFmtId="0" fontId="0" fillId="0" borderId="0" xfId="0" applyFont="1" applyAlignment="1">
      <alignment/>
    </xf>
    <xf numFmtId="0" fontId="3" fillId="33" borderId="0" xfId="0" applyFont="1" applyFill="1" applyAlignment="1" applyProtection="1">
      <alignment horizontal="center"/>
      <protection hidden="1"/>
    </xf>
    <xf numFmtId="0" fontId="0" fillId="0" borderId="0" xfId="0" applyFont="1" applyAlignment="1">
      <alignment/>
    </xf>
    <xf numFmtId="0" fontId="0" fillId="22" borderId="0" xfId="0" applyFont="1" applyFill="1" applyAlignment="1" applyProtection="1">
      <alignment/>
      <protection hidden="1"/>
    </xf>
    <xf numFmtId="0" fontId="4" fillId="22" borderId="0" xfId="0" applyFont="1" applyFill="1" applyAlignment="1" applyProtection="1">
      <alignment/>
      <protection hidden="1"/>
    </xf>
    <xf numFmtId="0" fontId="0" fillId="22" borderId="0" xfId="0" applyFont="1" applyFill="1" applyAlignment="1" applyProtection="1">
      <alignment horizontal="right"/>
      <protection hidden="1"/>
    </xf>
    <xf numFmtId="0" fontId="0" fillId="22" borderId="0" xfId="0" applyFont="1" applyFill="1" applyBorder="1" applyAlignment="1" applyProtection="1">
      <alignment/>
      <protection hidden="1"/>
    </xf>
    <xf numFmtId="0" fontId="0" fillId="22" borderId="0" xfId="0" applyFont="1" applyFill="1" applyBorder="1" applyAlignment="1" applyProtection="1">
      <alignment/>
      <protection hidden="1"/>
    </xf>
    <xf numFmtId="0" fontId="4" fillId="22" borderId="0" xfId="0" applyFont="1" applyFill="1" applyAlignment="1" applyProtection="1">
      <alignment horizontal="right"/>
      <protection hidden="1"/>
    </xf>
    <xf numFmtId="0" fontId="70" fillId="22" borderId="0" xfId="0" applyFont="1" applyFill="1" applyAlignment="1" applyProtection="1">
      <alignment horizontal="right"/>
      <protection hidden="1"/>
    </xf>
    <xf numFmtId="0" fontId="70" fillId="22" borderId="0" xfId="0" applyFont="1" applyFill="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protection hidden="1"/>
    </xf>
    <xf numFmtId="44" fontId="0" fillId="0" borderId="0" xfId="47" applyFont="1" applyAlignment="1" applyProtection="1">
      <alignment/>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0" fontId="5" fillId="0" borderId="0" xfId="0" applyFont="1" applyAlignment="1" applyProtection="1">
      <alignment horizontal="left"/>
      <protection hidden="1"/>
    </xf>
    <xf numFmtId="44" fontId="1" fillId="0" borderId="0" xfId="47" applyFont="1" applyAlignment="1" applyProtection="1">
      <alignment horizontal="center"/>
      <protection hidden="1"/>
    </xf>
    <xf numFmtId="0" fontId="2" fillId="0" borderId="10" xfId="0" applyFont="1" applyBorder="1" applyAlignment="1" applyProtection="1">
      <alignment/>
      <protection hidden="1"/>
    </xf>
    <xf numFmtId="0" fontId="6" fillId="0" borderId="10" xfId="0" applyFont="1" applyBorder="1" applyAlignment="1" applyProtection="1">
      <alignment vertical="top" wrapText="1"/>
      <protection hidden="1"/>
    </xf>
    <xf numFmtId="0" fontId="0" fillId="0" borderId="10" xfId="0" applyBorder="1" applyAlignment="1" applyProtection="1">
      <alignment/>
      <protection hidden="1"/>
    </xf>
    <xf numFmtId="0" fontId="7" fillId="0" borderId="0" xfId="0" applyFont="1" applyAlignment="1" applyProtection="1">
      <alignment horizontal="center"/>
      <protection hidden="1"/>
    </xf>
    <xf numFmtId="0" fontId="2" fillId="0" borderId="11" xfId="0" applyFont="1" applyBorder="1" applyAlignment="1" applyProtection="1">
      <alignment/>
      <protection hidden="1"/>
    </xf>
    <xf numFmtId="0" fontId="6" fillId="0" borderId="11" xfId="0" applyFont="1" applyBorder="1" applyAlignment="1" applyProtection="1">
      <alignment vertical="top" wrapText="1"/>
      <protection hidden="1"/>
    </xf>
    <xf numFmtId="0" fontId="0" fillId="0" borderId="11" xfId="0" applyBorder="1" applyAlignment="1" applyProtection="1">
      <alignment/>
      <protection hidden="1"/>
    </xf>
    <xf numFmtId="0" fontId="7" fillId="0" borderId="0" xfId="0" applyFont="1" applyAlignment="1" applyProtection="1">
      <alignment horizontal="left" indent="12"/>
      <protection hidden="1"/>
    </xf>
    <xf numFmtId="0" fontId="2" fillId="0" borderId="0" xfId="0" applyFont="1" applyAlignment="1" applyProtection="1">
      <alignment/>
      <protection hidden="1"/>
    </xf>
    <xf numFmtId="0" fontId="7" fillId="0" borderId="0" xfId="0" applyFont="1" applyAlignment="1" applyProtection="1">
      <alignment horizontal="left" indent="15"/>
      <protection hidden="1"/>
    </xf>
    <xf numFmtId="44" fontId="7" fillId="0" borderId="0" xfId="47" applyFont="1" applyAlignment="1" applyProtection="1">
      <alignment horizontal="left"/>
      <protection hidden="1"/>
    </xf>
    <xf numFmtId="44" fontId="2" fillId="0" borderId="0" xfId="47" applyFont="1" applyAlignment="1" applyProtection="1">
      <alignment/>
      <protection hidden="1"/>
    </xf>
    <xf numFmtId="0" fontId="8" fillId="0" borderId="10" xfId="0" applyFont="1" applyBorder="1" applyAlignment="1" applyProtection="1">
      <alignment horizontal="center" vertical="top" wrapText="1"/>
      <protection hidden="1"/>
    </xf>
    <xf numFmtId="44" fontId="5" fillId="0" borderId="12" xfId="47" applyFont="1" applyBorder="1" applyAlignment="1" applyProtection="1">
      <alignment horizontal="center" vertical="top" wrapText="1"/>
      <protection hidden="1"/>
    </xf>
    <xf numFmtId="0" fontId="5" fillId="0" borderId="12" xfId="0" applyFont="1" applyBorder="1" applyAlignment="1" applyProtection="1">
      <alignment vertical="top" wrapText="1"/>
      <protection hidden="1"/>
    </xf>
    <xf numFmtId="10" fontId="8" fillId="0" borderId="13" xfId="0" applyNumberFormat="1" applyFont="1" applyBorder="1" applyAlignment="1" applyProtection="1">
      <alignment horizontal="center" vertical="top" wrapText="1"/>
      <protection hidden="1"/>
    </xf>
    <xf numFmtId="44" fontId="5" fillId="0" borderId="14" xfId="47" applyFont="1" applyBorder="1" applyAlignment="1" applyProtection="1">
      <alignment horizontal="center" vertical="top" wrapText="1"/>
      <protection hidden="1"/>
    </xf>
    <xf numFmtId="0" fontId="5" fillId="0" borderId="14" xfId="0" applyFont="1" applyBorder="1" applyAlignment="1" applyProtection="1">
      <alignment vertical="top" wrapText="1"/>
      <protection hidden="1"/>
    </xf>
    <xf numFmtId="9" fontId="8" fillId="0" borderId="13" xfId="0" applyNumberFormat="1" applyFont="1" applyBorder="1" applyAlignment="1" applyProtection="1">
      <alignment horizontal="center" vertical="top" wrapText="1"/>
      <protection hidden="1"/>
    </xf>
    <xf numFmtId="0" fontId="0" fillId="0" borderId="11" xfId="0" applyBorder="1" applyAlignment="1" applyProtection="1">
      <alignment vertical="top" wrapText="1"/>
      <protection hidden="1"/>
    </xf>
    <xf numFmtId="44" fontId="0" fillId="0" borderId="15" xfId="47" applyFont="1" applyBorder="1" applyAlignment="1" applyProtection="1">
      <alignment vertical="top" wrapText="1"/>
      <protection hidden="1"/>
    </xf>
    <xf numFmtId="0" fontId="5" fillId="0" borderId="15" xfId="0" applyFont="1" applyBorder="1" applyAlignment="1" applyProtection="1">
      <alignment vertical="top" wrapText="1"/>
      <protection hidden="1"/>
    </xf>
    <xf numFmtId="0" fontId="8" fillId="0" borderId="16" xfId="0" applyFont="1" applyBorder="1" applyAlignment="1" applyProtection="1">
      <alignment horizontal="center" vertical="top" wrapText="1"/>
      <protection hidden="1"/>
    </xf>
    <xf numFmtId="4" fontId="9" fillId="0" borderId="16" xfId="47" applyNumberFormat="1" applyFont="1" applyBorder="1" applyAlignment="1" applyProtection="1">
      <alignment horizontal="center" vertical="top" wrapText="1"/>
      <protection locked="0"/>
    </xf>
    <xf numFmtId="4" fontId="9" fillId="0" borderId="16" xfId="47" applyNumberFormat="1" applyFont="1" applyBorder="1" applyAlignment="1" applyProtection="1">
      <alignment vertical="top" wrapText="1"/>
      <protection locked="0"/>
    </xf>
    <xf numFmtId="10" fontId="8" fillId="0" borderId="15" xfId="0" applyNumberFormat="1" applyFont="1" applyBorder="1" applyAlignment="1" applyProtection="1">
      <alignment horizontal="center" vertical="top" wrapText="1"/>
      <protection hidden="1"/>
    </xf>
    <xf numFmtId="4" fontId="0" fillId="0" borderId="16" xfId="0" applyNumberFormat="1" applyFont="1" applyBorder="1" applyAlignment="1" applyProtection="1">
      <alignment horizontal="right" vertical="top"/>
      <protection hidden="1"/>
    </xf>
    <xf numFmtId="9" fontId="10" fillId="0" borderId="15" xfId="0" applyNumberFormat="1" applyFont="1" applyBorder="1" applyAlignment="1" applyProtection="1">
      <alignment horizontal="center" vertical="top" wrapText="1"/>
      <protection hidden="1"/>
    </xf>
    <xf numFmtId="0" fontId="8" fillId="0" borderId="15" xfId="0" applyFont="1" applyBorder="1" applyAlignment="1" applyProtection="1">
      <alignment horizontal="center" vertical="top" wrapText="1"/>
      <protection hidden="1"/>
    </xf>
    <xf numFmtId="4" fontId="9" fillId="0" borderId="15" xfId="47" applyNumberFormat="1" applyFont="1" applyBorder="1" applyAlignment="1" applyProtection="1">
      <alignment vertical="top" wrapText="1"/>
      <protection locked="0"/>
    </xf>
    <xf numFmtId="9" fontId="8" fillId="0" borderId="15" xfId="0" applyNumberFormat="1" applyFont="1" applyBorder="1" applyAlignment="1" applyProtection="1">
      <alignment horizontal="center" vertical="top" wrapText="1"/>
      <protection hidden="1"/>
    </xf>
    <xf numFmtId="0" fontId="7" fillId="0" borderId="11" xfId="0" applyFont="1" applyBorder="1" applyAlignment="1" applyProtection="1">
      <alignment horizontal="center" vertical="top" wrapText="1"/>
      <protection hidden="1"/>
    </xf>
    <xf numFmtId="0" fontId="9" fillId="0" borderId="15" xfId="0" applyFont="1" applyBorder="1" applyAlignment="1" applyProtection="1">
      <alignment vertical="top" wrapText="1"/>
      <protection hidden="1"/>
    </xf>
    <xf numFmtId="44" fontId="9" fillId="0" borderId="15" xfId="47" applyFont="1" applyBorder="1" applyAlignment="1" applyProtection="1">
      <alignment vertical="top" wrapText="1"/>
      <protection hidden="1"/>
    </xf>
    <xf numFmtId="175" fontId="6" fillId="0" borderId="15" xfId="47" applyNumberFormat="1" applyFont="1" applyBorder="1" applyAlignment="1" applyProtection="1">
      <alignment vertical="top" wrapText="1"/>
      <protection hidden="1"/>
    </xf>
    <xf numFmtId="0" fontId="9" fillId="0" borderId="0" xfId="0" applyFont="1" applyAlignment="1" applyProtection="1">
      <alignment horizontal="center"/>
      <protection hidden="1"/>
    </xf>
    <xf numFmtId="0" fontId="5" fillId="0" borderId="0" xfId="0" applyFont="1" applyAlignment="1" applyProtection="1">
      <alignment/>
      <protection hidden="1"/>
    </xf>
    <xf numFmtId="49" fontId="0" fillId="34" borderId="0" xfId="47" applyNumberFormat="1" applyFont="1" applyFill="1" applyAlignment="1" applyProtection="1">
      <alignment/>
      <protection hidden="1"/>
    </xf>
    <xf numFmtId="14" fontId="0" fillId="0" borderId="0" xfId="0" applyNumberFormat="1" applyAlignment="1">
      <alignment/>
    </xf>
    <xf numFmtId="44" fontId="5" fillId="0" borderId="16" xfId="47" applyFont="1" applyBorder="1" applyAlignment="1" applyProtection="1">
      <alignment horizontal="center" vertical="top" wrapText="1"/>
      <protection hidden="1"/>
    </xf>
    <xf numFmtId="44" fontId="5" fillId="0" borderId="10" xfId="47" applyFont="1" applyBorder="1" applyAlignment="1" applyProtection="1">
      <alignment horizontal="center" vertical="top" wrapText="1"/>
      <protection hidden="1"/>
    </xf>
    <xf numFmtId="44" fontId="5" fillId="0" borderId="13" xfId="47" applyFont="1" applyBorder="1" applyAlignment="1" applyProtection="1">
      <alignment horizontal="center" vertical="top" wrapText="1"/>
      <protection hidden="1"/>
    </xf>
    <xf numFmtId="44" fontId="5" fillId="0" borderId="11" xfId="47" applyFont="1" applyBorder="1" applyAlignment="1" applyProtection="1">
      <alignment horizontal="center" vertical="top" wrapText="1"/>
      <protection hidden="1"/>
    </xf>
    <xf numFmtId="4" fontId="2" fillId="0" borderId="16" xfId="47" applyNumberFormat="1" applyFont="1" applyBorder="1" applyAlignment="1" applyProtection="1">
      <alignment horizontal="right" vertical="top" wrapText="1"/>
      <protection locked="0"/>
    </xf>
    <xf numFmtId="4" fontId="2" fillId="0" borderId="15" xfId="47" applyNumberFormat="1" applyFont="1" applyBorder="1" applyAlignment="1" applyProtection="1">
      <alignment horizontal="right" vertical="top" wrapText="1"/>
      <protection locked="0"/>
    </xf>
    <xf numFmtId="0" fontId="0" fillId="34" borderId="0" xfId="47" applyNumberFormat="1" applyFont="1" applyFill="1" applyAlignment="1" applyProtection="1">
      <alignment/>
      <protection hidden="1"/>
    </xf>
    <xf numFmtId="0" fontId="0" fillId="34" borderId="0" xfId="0" applyNumberFormat="1" applyFill="1" applyAlignment="1" applyProtection="1">
      <alignment/>
      <protection hidden="1"/>
    </xf>
    <xf numFmtId="49" fontId="0" fillId="34" borderId="0" xfId="0" applyNumberFormat="1" applyFill="1" applyAlignment="1" applyProtection="1">
      <alignment horizontal="right"/>
      <protection hidden="1"/>
    </xf>
    <xf numFmtId="0" fontId="2" fillId="22" borderId="17" xfId="0" applyFont="1" applyFill="1" applyBorder="1" applyAlignment="1" applyProtection="1">
      <alignment horizontal="center"/>
      <protection hidden="1"/>
    </xf>
    <xf numFmtId="0" fontId="7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xf>
    <xf numFmtId="0" fontId="11" fillId="0" borderId="0" xfId="0" applyFont="1" applyAlignment="1">
      <alignment horizontal="left" vertical="center" indent="4"/>
    </xf>
    <xf numFmtId="0" fontId="13" fillId="0" borderId="0" xfId="0" applyFont="1" applyAlignment="1">
      <alignment horizontal="left" vertical="center" indent="4"/>
    </xf>
    <xf numFmtId="0" fontId="72" fillId="0" borderId="0" xfId="0" applyFont="1" applyAlignment="1">
      <alignment vertical="center" wrapText="1"/>
    </xf>
    <xf numFmtId="49" fontId="0" fillId="34" borderId="0" xfId="47" applyNumberFormat="1" applyFont="1" applyFill="1" applyAlignment="1" applyProtection="1">
      <alignment horizontal="right"/>
      <protection hidden="1"/>
    </xf>
    <xf numFmtId="0" fontId="0" fillId="34" borderId="0" xfId="47" applyNumberFormat="1" applyFont="1" applyFill="1" applyAlignment="1" applyProtection="1">
      <alignment horizontal="right"/>
      <protection hidden="1"/>
    </xf>
    <xf numFmtId="14" fontId="0" fillId="0" borderId="0" xfId="0" applyNumberFormat="1" applyAlignment="1" applyProtection="1">
      <alignment/>
      <protection hidden="1"/>
    </xf>
    <xf numFmtId="0" fontId="58" fillId="0" borderId="0" xfId="55" applyAlignment="1" applyProtection="1">
      <alignment/>
      <protection hidden="1"/>
    </xf>
    <xf numFmtId="0" fontId="58" fillId="0" borderId="0" xfId="55" applyAlignment="1" applyProtection="1">
      <alignment horizontal="center"/>
      <protection hidden="1"/>
    </xf>
    <xf numFmtId="0" fontId="15" fillId="0" borderId="0" xfId="0" applyFont="1" applyAlignment="1">
      <alignment vertical="center"/>
    </xf>
    <xf numFmtId="0" fontId="15" fillId="0" borderId="0" xfId="0" applyFont="1" applyAlignment="1">
      <alignment/>
    </xf>
    <xf numFmtId="0" fontId="3" fillId="22" borderId="17" xfId="0" applyFont="1" applyFill="1" applyBorder="1" applyAlignment="1" applyProtection="1">
      <alignment horizontal="center"/>
      <protection hidden="1"/>
    </xf>
    <xf numFmtId="0" fontId="3" fillId="33" borderId="0" xfId="0" applyFont="1" applyFill="1" applyAlignment="1" applyProtection="1">
      <alignment/>
      <protection hidden="1"/>
    </xf>
    <xf numFmtId="49" fontId="0" fillId="35" borderId="0" xfId="0" applyNumberFormat="1" applyFill="1" applyAlignment="1" applyProtection="1">
      <alignment/>
      <protection hidden="1"/>
    </xf>
    <xf numFmtId="14" fontId="0" fillId="0" borderId="0" xfId="0" applyNumberFormat="1" applyFont="1" applyFill="1" applyAlignment="1" applyProtection="1">
      <alignment/>
      <protection hidden="1"/>
    </xf>
    <xf numFmtId="14" fontId="67" fillId="0" borderId="0" xfId="0" applyNumberFormat="1" applyFont="1" applyAlignment="1" applyProtection="1">
      <alignment/>
      <protection hidden="1"/>
    </xf>
    <xf numFmtId="0" fontId="0" fillId="0" borderId="0" xfId="0" applyFont="1" applyAlignment="1" applyProtection="1">
      <alignment/>
      <protection hidden="1"/>
    </xf>
    <xf numFmtId="0" fontId="0" fillId="9" borderId="0" xfId="0" applyFill="1" applyAlignment="1" applyProtection="1">
      <alignment/>
      <protection hidden="1"/>
    </xf>
    <xf numFmtId="0" fontId="0" fillId="15" borderId="0" xfId="0" applyFill="1" applyAlignment="1" applyProtection="1">
      <alignment/>
      <protection hidden="1"/>
    </xf>
    <xf numFmtId="0" fontId="0" fillId="15" borderId="0" xfId="0" applyFont="1" applyFill="1" applyAlignment="1" applyProtection="1">
      <alignment/>
      <protection hidden="1"/>
    </xf>
    <xf numFmtId="0" fontId="0" fillId="0" borderId="0" xfId="0" applyFont="1" applyAlignment="1" applyProtection="1">
      <alignment/>
      <protection hidden="1"/>
    </xf>
    <xf numFmtId="0" fontId="0" fillId="9" borderId="0" xfId="0" applyFont="1" applyFill="1" applyAlignment="1" applyProtection="1">
      <alignment/>
      <protection hidden="1"/>
    </xf>
    <xf numFmtId="0" fontId="0" fillId="15" borderId="0" xfId="0" applyFont="1" applyFill="1" applyAlignment="1" applyProtection="1">
      <alignment/>
      <protection hidden="1"/>
    </xf>
    <xf numFmtId="14" fontId="0" fillId="9" borderId="0" xfId="0" applyNumberFormat="1" applyFill="1" applyAlignment="1" applyProtection="1">
      <alignment/>
      <protection hidden="1"/>
    </xf>
    <xf numFmtId="0" fontId="0" fillId="9" borderId="0" xfId="0" applyNumberFormat="1" applyFill="1" applyAlignment="1" applyProtection="1">
      <alignment/>
      <protection hidden="1"/>
    </xf>
    <xf numFmtId="0" fontId="2" fillId="8" borderId="0" xfId="0" applyFont="1" applyFill="1" applyAlignment="1" applyProtection="1">
      <alignment/>
      <protection hidden="1"/>
    </xf>
    <xf numFmtId="0" fontId="73" fillId="8" borderId="0" xfId="0" applyFont="1" applyFill="1" applyAlignment="1" applyProtection="1">
      <alignment/>
      <protection hidden="1"/>
    </xf>
    <xf numFmtId="0" fontId="2" fillId="8" borderId="0" xfId="0" applyNumberFormat="1" applyFont="1" applyFill="1" applyAlignment="1" applyProtection="1">
      <alignment/>
      <protection hidden="1"/>
    </xf>
    <xf numFmtId="0" fontId="73" fillId="0" borderId="0" xfId="0" applyFont="1" applyAlignment="1" applyProtection="1">
      <alignment/>
      <protection hidden="1"/>
    </xf>
    <xf numFmtId="49" fontId="0" fillId="35" borderId="0" xfId="0" applyNumberFormat="1" applyFont="1" applyFill="1" applyAlignment="1" applyProtection="1">
      <alignment/>
      <protection hidden="1"/>
    </xf>
    <xf numFmtId="0" fontId="0" fillId="36" borderId="0" xfId="0" applyFont="1" applyFill="1" applyAlignment="1" applyProtection="1">
      <alignment/>
      <protection locked="0"/>
    </xf>
    <xf numFmtId="14" fontId="0" fillId="36" borderId="0" xfId="0" applyNumberFormat="1" applyFont="1" applyFill="1" applyAlignment="1" applyProtection="1">
      <alignment horizontal="right" wrapText="1"/>
      <protection locked="0"/>
    </xf>
    <xf numFmtId="14" fontId="0" fillId="36" borderId="0" xfId="0" applyNumberFormat="1" applyFont="1" applyFill="1" applyAlignment="1" applyProtection="1">
      <alignment/>
      <protection locked="0"/>
    </xf>
    <xf numFmtId="14" fontId="0" fillId="36" borderId="0" xfId="0" applyNumberFormat="1" applyFill="1" applyAlignment="1" applyProtection="1">
      <alignment/>
      <protection locked="0"/>
    </xf>
    <xf numFmtId="0" fontId="0" fillId="36" borderId="0" xfId="0" applyFill="1" applyAlignment="1" applyProtection="1">
      <alignment/>
      <protection locked="0"/>
    </xf>
    <xf numFmtId="0" fontId="0" fillId="0" borderId="0" xfId="0" applyAlignment="1" applyProtection="1">
      <alignment/>
      <protection locked="0"/>
    </xf>
    <xf numFmtId="0" fontId="73" fillId="0" borderId="0" xfId="0" applyFont="1" applyAlignment="1" applyProtection="1">
      <alignment/>
      <protection locked="0"/>
    </xf>
    <xf numFmtId="0" fontId="2" fillId="0" borderId="0" xfId="0" applyFont="1" applyAlignment="1" applyProtection="1">
      <alignment horizontal="left"/>
      <protection hidden="1"/>
    </xf>
    <xf numFmtId="0" fontId="16" fillId="19" borderId="16" xfId="0" applyFont="1" applyFill="1" applyBorder="1" applyAlignment="1" applyProtection="1">
      <alignment/>
      <protection hidden="1"/>
    </xf>
    <xf numFmtId="0" fontId="16" fillId="19" borderId="18" xfId="0" applyFont="1" applyFill="1" applyBorder="1" applyAlignment="1" applyProtection="1">
      <alignment/>
      <protection hidden="1"/>
    </xf>
    <xf numFmtId="0" fontId="16" fillId="19" borderId="19" xfId="0" applyFont="1" applyFill="1" applyBorder="1" applyAlignment="1" applyProtection="1">
      <alignment/>
      <protection hidden="1"/>
    </xf>
    <xf numFmtId="0" fontId="16" fillId="19" borderId="20" xfId="0" applyFont="1" applyFill="1" applyBorder="1" applyAlignment="1" applyProtection="1">
      <alignment/>
      <protection hidden="1"/>
    </xf>
    <xf numFmtId="0" fontId="16" fillId="19" borderId="13" xfId="0" applyFont="1" applyFill="1" applyBorder="1" applyAlignment="1" applyProtection="1">
      <alignment/>
      <protection hidden="1"/>
    </xf>
    <xf numFmtId="0" fontId="0" fillId="16" borderId="13" xfId="0" applyFill="1" applyBorder="1" applyAlignment="1" applyProtection="1">
      <alignment/>
      <protection hidden="1"/>
    </xf>
    <xf numFmtId="14" fontId="0" fillId="16" borderId="13" xfId="0" applyNumberFormat="1" applyFill="1" applyBorder="1" applyAlignment="1" applyProtection="1">
      <alignment/>
      <protection hidden="1"/>
    </xf>
    <xf numFmtId="0" fontId="74" fillId="0" borderId="0" xfId="0" applyFont="1" applyAlignment="1" applyProtection="1">
      <alignment/>
      <protection hidden="1"/>
    </xf>
    <xf numFmtId="14" fontId="17" fillId="0" borderId="0" xfId="47" applyNumberFormat="1" applyFont="1" applyAlignment="1" applyProtection="1">
      <alignment/>
      <protection hidden="1"/>
    </xf>
    <xf numFmtId="0" fontId="0" fillId="0" borderId="0" xfId="0" applyFont="1" applyAlignment="1" applyProtection="1">
      <alignment horizontal="center"/>
      <protection hidden="1"/>
    </xf>
    <xf numFmtId="0" fontId="9" fillId="0" borderId="1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46" fillId="0" borderId="10" xfId="0" applyFont="1" applyBorder="1" applyAlignment="1" applyProtection="1">
      <alignment vertical="top" wrapText="1"/>
      <protection locked="0"/>
    </xf>
    <xf numFmtId="0" fontId="46" fillId="0" borderId="13" xfId="0" applyFont="1" applyBorder="1" applyAlignment="1" applyProtection="1">
      <alignment vertical="top" wrapText="1"/>
      <protection locked="0"/>
    </xf>
    <xf numFmtId="0" fontId="46" fillId="0" borderId="11" xfId="0" applyFont="1" applyBorder="1" applyAlignment="1" applyProtection="1">
      <alignment vertical="top" wrapText="1"/>
      <protection locked="0"/>
    </xf>
    <xf numFmtId="0" fontId="14" fillId="0" borderId="21" xfId="0" applyFont="1" applyBorder="1" applyAlignment="1" applyProtection="1">
      <alignment horizontal="left" vertical="top" wrapText="1"/>
      <protection hidden="1"/>
    </xf>
    <xf numFmtId="0" fontId="14" fillId="0" borderId="21"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44" fontId="6" fillId="0" borderId="10" xfId="47" applyFont="1" applyBorder="1" applyAlignment="1" applyProtection="1">
      <alignment horizontal="center" vertical="center" wrapText="1"/>
      <protection hidden="1"/>
    </xf>
    <xf numFmtId="44" fontId="6" fillId="0" borderId="13" xfId="47" applyFont="1" applyBorder="1" applyAlignment="1" applyProtection="1">
      <alignment horizontal="center" vertical="center" wrapText="1"/>
      <protection hidden="1"/>
    </xf>
    <xf numFmtId="44" fontId="6" fillId="0" borderId="11" xfId="47" applyFont="1" applyBorder="1" applyAlignment="1" applyProtection="1">
      <alignment horizontal="center" vertical="center" wrapText="1"/>
      <protection hidden="1"/>
    </xf>
    <xf numFmtId="175" fontId="6" fillId="0" borderId="10" xfId="47" applyNumberFormat="1" applyFont="1" applyBorder="1" applyAlignment="1" applyProtection="1">
      <alignment horizontal="center" vertical="center" wrapText="1"/>
      <protection hidden="1"/>
    </xf>
    <xf numFmtId="0" fontId="9" fillId="0" borderId="10" xfId="0" applyFont="1" applyBorder="1" applyAlignment="1" applyProtection="1">
      <alignment vertical="center" wrapText="1"/>
      <protection hidden="1"/>
    </xf>
    <xf numFmtId="0" fontId="9" fillId="0" borderId="13" xfId="0" applyFont="1" applyBorder="1" applyAlignment="1" applyProtection="1">
      <alignment vertical="center" wrapText="1"/>
      <protection hidden="1"/>
    </xf>
    <xf numFmtId="0" fontId="9" fillId="0" borderId="11" xfId="0" applyFont="1" applyBorder="1" applyAlignment="1" applyProtection="1">
      <alignment vertical="center" wrapText="1"/>
      <protection hidden="1"/>
    </xf>
    <xf numFmtId="0" fontId="6" fillId="0" borderId="10"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5" fillId="0" borderId="10" xfId="0"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11" xfId="0" applyFont="1" applyBorder="1" applyAlignment="1" applyProtection="1">
      <alignment horizontal="center" vertical="top" wrapText="1"/>
      <protection hidden="1"/>
    </xf>
    <xf numFmtId="44" fontId="5" fillId="0" borderId="10" xfId="47" applyFont="1" applyBorder="1" applyAlignment="1" applyProtection="1">
      <alignment horizontal="center" vertical="top" wrapText="1"/>
      <protection hidden="1"/>
    </xf>
    <xf numFmtId="44" fontId="5" fillId="0" borderId="13" xfId="47" applyFont="1" applyBorder="1" applyAlignment="1" applyProtection="1">
      <alignment horizontal="center" vertical="top" wrapText="1"/>
      <protection hidden="1"/>
    </xf>
    <xf numFmtId="44" fontId="5" fillId="0" borderId="11" xfId="47" applyFont="1" applyBorder="1" applyAlignment="1" applyProtection="1">
      <alignment horizontal="center" vertical="top" wrapText="1"/>
      <protection hidden="1"/>
    </xf>
    <xf numFmtId="44" fontId="5" fillId="0" borderId="16" xfId="47" applyFont="1" applyBorder="1" applyAlignment="1" applyProtection="1">
      <alignment horizontal="center" vertical="top" wrapText="1"/>
      <protection hidden="1"/>
    </xf>
    <xf numFmtId="0" fontId="5" fillId="0" borderId="10" xfId="0" applyFont="1" applyBorder="1" applyAlignment="1" applyProtection="1">
      <alignment vertical="top" wrapText="1"/>
      <protection hidden="1"/>
    </xf>
    <xf numFmtId="0" fontId="5" fillId="0" borderId="13" xfId="0" applyFont="1" applyBorder="1" applyAlignment="1" applyProtection="1">
      <alignment vertical="top" wrapText="1"/>
      <protection hidden="1"/>
    </xf>
    <xf numFmtId="0" fontId="5" fillId="0" borderId="11" xfId="0" applyFont="1" applyBorder="1" applyAlignment="1" applyProtection="1">
      <alignment vertical="top" wrapText="1"/>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6.emf" /><Relationship Id="rId6"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3</xdr:row>
      <xdr:rowOff>66675</xdr:rowOff>
    </xdr:from>
    <xdr:to>
      <xdr:col>2</xdr:col>
      <xdr:colOff>1571625</xdr:colOff>
      <xdr:row>10</xdr:row>
      <xdr:rowOff>38100</xdr:rowOff>
    </xdr:to>
    <xdr:pic>
      <xdr:nvPicPr>
        <xdr:cNvPr id="1" name="Picture 1"/>
        <xdr:cNvPicPr preferRelativeResize="1">
          <a:picLocks noChangeAspect="1"/>
        </xdr:cNvPicPr>
      </xdr:nvPicPr>
      <xdr:blipFill>
        <a:blip r:embed="rId1"/>
        <a:stretch>
          <a:fillRect/>
        </a:stretch>
      </xdr:blipFill>
      <xdr:spPr>
        <a:xfrm>
          <a:off x="2143125" y="666750"/>
          <a:ext cx="12287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590550</xdr:colOff>
      <xdr:row>8</xdr:row>
      <xdr:rowOff>0</xdr:rowOff>
    </xdr:to>
    <xdr:pic>
      <xdr:nvPicPr>
        <xdr:cNvPr id="1" name="Picture 1"/>
        <xdr:cNvPicPr preferRelativeResize="1">
          <a:picLocks noChangeAspect="1"/>
        </xdr:cNvPicPr>
      </xdr:nvPicPr>
      <xdr:blipFill>
        <a:blip r:embed="rId1"/>
        <a:stretch>
          <a:fillRect/>
        </a:stretch>
      </xdr:blipFill>
      <xdr:spPr>
        <a:xfrm>
          <a:off x="28575" y="19050"/>
          <a:ext cx="1343025" cy="1276350"/>
        </a:xfrm>
        <a:prstGeom prst="rect">
          <a:avLst/>
        </a:prstGeom>
        <a:noFill/>
        <a:ln w="9525" cmpd="sng">
          <a:noFill/>
        </a:ln>
      </xdr:spPr>
    </xdr:pic>
    <xdr:clientData/>
  </xdr:twoCellAnchor>
  <xdr:twoCellAnchor editAs="oneCell">
    <xdr:from>
      <xdr:col>0</xdr:col>
      <xdr:colOff>19050</xdr:colOff>
      <xdr:row>40</xdr:row>
      <xdr:rowOff>19050</xdr:rowOff>
    </xdr:from>
    <xdr:to>
      <xdr:col>1</xdr:col>
      <xdr:colOff>581025</xdr:colOff>
      <xdr:row>48</xdr:row>
      <xdr:rowOff>0</xdr:rowOff>
    </xdr:to>
    <xdr:pic>
      <xdr:nvPicPr>
        <xdr:cNvPr id="2" name="Picture 9"/>
        <xdr:cNvPicPr preferRelativeResize="1">
          <a:picLocks noChangeAspect="1"/>
        </xdr:cNvPicPr>
      </xdr:nvPicPr>
      <xdr:blipFill>
        <a:blip r:embed="rId1"/>
        <a:stretch>
          <a:fillRect/>
        </a:stretch>
      </xdr:blipFill>
      <xdr:spPr>
        <a:xfrm>
          <a:off x="19050" y="6496050"/>
          <a:ext cx="1343025" cy="1276350"/>
        </a:xfrm>
        <a:prstGeom prst="rect">
          <a:avLst/>
        </a:prstGeom>
        <a:noFill/>
        <a:ln w="9525" cmpd="sng">
          <a:noFill/>
        </a:ln>
      </xdr:spPr>
    </xdr:pic>
    <xdr:clientData/>
  </xdr:twoCellAnchor>
  <xdr:twoCellAnchor editAs="oneCell">
    <xdr:from>
      <xdr:col>8</xdr:col>
      <xdr:colOff>581025</xdr:colOff>
      <xdr:row>1</xdr:row>
      <xdr:rowOff>123825</xdr:rowOff>
    </xdr:from>
    <xdr:to>
      <xdr:col>9</xdr:col>
      <xdr:colOff>800100</xdr:colOff>
      <xdr:row>4</xdr:row>
      <xdr:rowOff>57150</xdr:rowOff>
    </xdr:to>
    <xdr:pic>
      <xdr:nvPicPr>
        <xdr:cNvPr id="3" name="CommandButton1"/>
        <xdr:cNvPicPr preferRelativeResize="1">
          <a:picLocks noChangeAspect="1"/>
        </xdr:cNvPicPr>
      </xdr:nvPicPr>
      <xdr:blipFill>
        <a:blip r:embed="rId2"/>
        <a:stretch>
          <a:fillRect/>
        </a:stretch>
      </xdr:blipFill>
      <xdr:spPr>
        <a:xfrm>
          <a:off x="8086725" y="285750"/>
          <a:ext cx="1428750" cy="419100"/>
        </a:xfrm>
        <a:prstGeom prst="rect">
          <a:avLst/>
        </a:prstGeom>
        <a:noFill/>
        <a:ln w="9525" cmpd="sng">
          <a:noFill/>
        </a:ln>
      </xdr:spPr>
    </xdr:pic>
    <xdr:clientData fPrintsWithSheet="0"/>
  </xdr:twoCellAnchor>
  <xdr:twoCellAnchor editAs="oneCell">
    <xdr:from>
      <xdr:col>8</xdr:col>
      <xdr:colOff>571500</xdr:colOff>
      <xdr:row>4</xdr:row>
      <xdr:rowOff>142875</xdr:rowOff>
    </xdr:from>
    <xdr:to>
      <xdr:col>9</xdr:col>
      <xdr:colOff>800100</xdr:colOff>
      <xdr:row>6</xdr:row>
      <xdr:rowOff>123825</xdr:rowOff>
    </xdr:to>
    <xdr:pic>
      <xdr:nvPicPr>
        <xdr:cNvPr id="4" name="CommandButton2"/>
        <xdr:cNvPicPr preferRelativeResize="1">
          <a:picLocks noChangeAspect="1"/>
        </xdr:cNvPicPr>
      </xdr:nvPicPr>
      <xdr:blipFill>
        <a:blip r:embed="rId3"/>
        <a:stretch>
          <a:fillRect/>
        </a:stretch>
      </xdr:blipFill>
      <xdr:spPr>
        <a:xfrm>
          <a:off x="8077200" y="790575"/>
          <a:ext cx="1438275" cy="304800"/>
        </a:xfrm>
        <a:prstGeom prst="rect">
          <a:avLst/>
        </a:prstGeom>
        <a:noFill/>
        <a:ln w="9525" cmpd="sng">
          <a:noFill/>
        </a:ln>
      </xdr:spPr>
    </xdr:pic>
    <xdr:clientData fPrintsWithSheet="0"/>
  </xdr:twoCellAnchor>
  <xdr:twoCellAnchor editAs="oneCell">
    <xdr:from>
      <xdr:col>8</xdr:col>
      <xdr:colOff>219075</xdr:colOff>
      <xdr:row>7</xdr:row>
      <xdr:rowOff>0</xdr:rowOff>
    </xdr:from>
    <xdr:to>
      <xdr:col>8</xdr:col>
      <xdr:colOff>1076325</xdr:colOff>
      <xdr:row>9</xdr:row>
      <xdr:rowOff>104775</xdr:rowOff>
    </xdr:to>
    <xdr:pic>
      <xdr:nvPicPr>
        <xdr:cNvPr id="5" name="CommandButton3"/>
        <xdr:cNvPicPr preferRelativeResize="1">
          <a:picLocks noChangeAspect="1"/>
        </xdr:cNvPicPr>
      </xdr:nvPicPr>
      <xdr:blipFill>
        <a:blip r:embed="rId4"/>
        <a:stretch>
          <a:fillRect/>
        </a:stretch>
      </xdr:blipFill>
      <xdr:spPr>
        <a:xfrm>
          <a:off x="7724775" y="1133475"/>
          <a:ext cx="857250" cy="428625"/>
        </a:xfrm>
        <a:prstGeom prst="rect">
          <a:avLst/>
        </a:prstGeom>
        <a:noFill/>
        <a:ln w="9525" cmpd="sng">
          <a:noFill/>
        </a:ln>
      </xdr:spPr>
    </xdr:pic>
    <xdr:clientData fPrintsWithSheet="0"/>
  </xdr:twoCellAnchor>
  <xdr:twoCellAnchor editAs="oneCell">
    <xdr:from>
      <xdr:col>8</xdr:col>
      <xdr:colOff>1085850</xdr:colOff>
      <xdr:row>7</xdr:row>
      <xdr:rowOff>0</xdr:rowOff>
    </xdr:from>
    <xdr:to>
      <xdr:col>9</xdr:col>
      <xdr:colOff>800100</xdr:colOff>
      <xdr:row>9</xdr:row>
      <xdr:rowOff>104775</xdr:rowOff>
    </xdr:to>
    <xdr:pic>
      <xdr:nvPicPr>
        <xdr:cNvPr id="6" name="CommandButton4"/>
        <xdr:cNvPicPr preferRelativeResize="1">
          <a:picLocks noChangeAspect="1"/>
        </xdr:cNvPicPr>
      </xdr:nvPicPr>
      <xdr:blipFill>
        <a:blip r:embed="rId5"/>
        <a:stretch>
          <a:fillRect/>
        </a:stretch>
      </xdr:blipFill>
      <xdr:spPr>
        <a:xfrm>
          <a:off x="8591550" y="1133475"/>
          <a:ext cx="923925" cy="428625"/>
        </a:xfrm>
        <a:prstGeom prst="rect">
          <a:avLst/>
        </a:prstGeom>
        <a:noFill/>
        <a:ln w="9525" cmpd="sng">
          <a:noFill/>
        </a:ln>
      </xdr:spPr>
    </xdr:pic>
    <xdr:clientData fPrintsWithSheet="0"/>
  </xdr:twoCellAnchor>
  <xdr:twoCellAnchor editAs="oneCell">
    <xdr:from>
      <xdr:col>10</xdr:col>
      <xdr:colOff>0</xdr:colOff>
      <xdr:row>8</xdr:row>
      <xdr:rowOff>19050</xdr:rowOff>
    </xdr:from>
    <xdr:to>
      <xdr:col>12</xdr:col>
      <xdr:colOff>266700</xdr:colOff>
      <xdr:row>9</xdr:row>
      <xdr:rowOff>104775</xdr:rowOff>
    </xdr:to>
    <xdr:pic>
      <xdr:nvPicPr>
        <xdr:cNvPr id="7" name="CommandButton5"/>
        <xdr:cNvPicPr preferRelativeResize="1">
          <a:picLocks noChangeAspect="1"/>
        </xdr:cNvPicPr>
      </xdr:nvPicPr>
      <xdr:blipFill>
        <a:blip r:embed="rId6"/>
        <a:stretch>
          <a:fillRect/>
        </a:stretch>
      </xdr:blipFill>
      <xdr:spPr>
        <a:xfrm>
          <a:off x="9534525" y="1314450"/>
          <a:ext cx="1076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K38"/>
  <sheetViews>
    <sheetView showGridLines="0" zoomScalePageLayoutView="0" workbookViewId="0" topLeftCell="A1">
      <selection activeCell="F16" sqref="F16"/>
    </sheetView>
  </sheetViews>
  <sheetFormatPr defaultColWidth="9.140625" defaultRowHeight="12.75"/>
  <cols>
    <col min="1" max="1" width="10.57421875" style="1" customWidth="1"/>
    <col min="2" max="2" width="16.421875" style="1" customWidth="1"/>
    <col min="3" max="3" width="30.8515625" style="1" customWidth="1"/>
    <col min="4" max="4" width="7.28125" style="1" customWidth="1"/>
    <col min="5" max="5" width="9.140625" style="1" customWidth="1"/>
    <col min="6" max="6" width="11.7109375" style="1" customWidth="1"/>
    <col min="7" max="7" width="10.28125" style="1" customWidth="1"/>
    <col min="8" max="16384" width="9.140625" style="1" customWidth="1"/>
  </cols>
  <sheetData>
    <row r="1" spans="1:8" ht="15.75">
      <c r="A1" s="3"/>
      <c r="B1" s="3"/>
      <c r="C1" s="4" t="s">
        <v>0</v>
      </c>
      <c r="D1" s="4"/>
      <c r="E1" s="3"/>
      <c r="F1" s="3"/>
      <c r="G1"/>
      <c r="H1"/>
    </row>
    <row r="2" spans="1:8" ht="15.75">
      <c r="A2" s="3"/>
      <c r="B2" s="3"/>
      <c r="C2" s="5" t="s">
        <v>69</v>
      </c>
      <c r="D2" s="5"/>
      <c r="E2" s="3"/>
      <c r="F2" s="3"/>
      <c r="G2"/>
      <c r="H2"/>
    </row>
    <row r="3" spans="1:9" ht="15.75">
      <c r="A3" s="3"/>
      <c r="B3" s="3"/>
      <c r="C3" s="4" t="s">
        <v>1</v>
      </c>
      <c r="D3" s="4"/>
      <c r="E3" s="3"/>
      <c r="F3" s="3"/>
      <c r="G3"/>
      <c r="H3"/>
      <c r="I3" s="80"/>
    </row>
    <row r="4" spans="1:9" ht="12.75">
      <c r="A4" s="3"/>
      <c r="B4" s="3"/>
      <c r="C4" s="3"/>
      <c r="D4" s="3"/>
      <c r="E4" s="3"/>
      <c r="F4" s="12"/>
      <c r="G4"/>
      <c r="H4"/>
      <c r="I4" s="81"/>
    </row>
    <row r="5" spans="1:11" ht="12.75" customHeight="1">
      <c r="A5" s="6"/>
      <c r="B5" s="6"/>
      <c r="C5" s="6"/>
      <c r="D5" s="6"/>
      <c r="E5" s="9"/>
      <c r="F5" s="10"/>
      <c r="G5"/>
      <c r="H5"/>
      <c r="I5" s="82"/>
      <c r="K5" s="2"/>
    </row>
    <row r="6" spans="1:9" ht="12.75">
      <c r="A6" s="3"/>
      <c r="B6" s="7"/>
      <c r="C6" s="7"/>
      <c r="D6" s="7"/>
      <c r="E6" s="9"/>
      <c r="F6" s="9"/>
      <c r="G6"/>
      <c r="H6"/>
      <c r="I6" s="81"/>
    </row>
    <row r="7" spans="1:9" ht="12.75">
      <c r="A7" s="3"/>
      <c r="B7" s="16"/>
      <c r="C7" s="7"/>
      <c r="D7" s="19"/>
      <c r="E7" s="9"/>
      <c r="F7" s="9"/>
      <c r="G7"/>
      <c r="H7"/>
      <c r="I7" s="81"/>
    </row>
    <row r="8" spans="1:9" ht="12.75">
      <c r="A8" s="3"/>
      <c r="B8" s="17"/>
      <c r="C8" s="7"/>
      <c r="D8" s="7"/>
      <c r="E8" s="9"/>
      <c r="F8" s="11"/>
      <c r="G8"/>
      <c r="H8"/>
      <c r="I8" s="81"/>
    </row>
    <row r="9" spans="1:9" ht="12.75">
      <c r="A9" s="3"/>
      <c r="B9" s="7"/>
      <c r="C9" s="7"/>
      <c r="D9" s="7"/>
      <c r="E9" s="9"/>
      <c r="F9" s="9"/>
      <c r="G9"/>
      <c r="H9"/>
      <c r="I9" s="84"/>
    </row>
    <row r="10" spans="1:9" ht="12.75">
      <c r="A10" s="3"/>
      <c r="B10" s="16"/>
      <c r="C10" s="18"/>
      <c r="D10" s="20"/>
      <c r="E10" s="9"/>
      <c r="F10" s="9"/>
      <c r="G10"/>
      <c r="H10"/>
      <c r="I10" s="84"/>
    </row>
    <row r="11" spans="1:9" ht="12.75">
      <c r="A11" s="3"/>
      <c r="B11" s="16"/>
      <c r="C11" s="17"/>
      <c r="D11" s="17"/>
      <c r="E11" s="9"/>
      <c r="F11" s="9"/>
      <c r="G11"/>
      <c r="H11"/>
      <c r="I11" s="84"/>
    </row>
    <row r="12" spans="1:9" ht="15">
      <c r="A12" s="23"/>
      <c r="B12" s="16"/>
      <c r="C12" s="16"/>
      <c r="D12" s="7"/>
      <c r="E12" s="22"/>
      <c r="F12" s="9"/>
      <c r="G12"/>
      <c r="H12"/>
      <c r="I12" s="84"/>
    </row>
    <row r="13" spans="1:9" ht="12.75">
      <c r="A13" s="3"/>
      <c r="B13" s="17"/>
      <c r="C13" s="17"/>
      <c r="D13" s="7"/>
      <c r="E13" s="21"/>
      <c r="F13" s="7"/>
      <c r="G13"/>
      <c r="H13"/>
      <c r="I13" s="84"/>
    </row>
    <row r="14" spans="1:9" ht="13.5" thickBot="1">
      <c r="A14" s="3"/>
      <c r="B14" s="16"/>
      <c r="C14" s="16"/>
      <c r="D14" s="7"/>
      <c r="E14" s="9"/>
      <c r="F14" s="7"/>
      <c r="G14"/>
      <c r="H14"/>
      <c r="I14" s="84"/>
    </row>
    <row r="15" spans="1:9" ht="15.75" thickBot="1">
      <c r="A15" s="23"/>
      <c r="B15" s="16"/>
      <c r="C15" s="16"/>
      <c r="D15" s="7"/>
      <c r="E15" s="22" t="s">
        <v>83</v>
      </c>
      <c r="F15" s="79" t="str">
        <f>Public_Holidays!R10</f>
        <v>Friday</v>
      </c>
      <c r="G15"/>
      <c r="H15"/>
      <c r="I15" s="85"/>
    </row>
    <row r="16" spans="1:9" ht="12.75">
      <c r="A16" s="3"/>
      <c r="B16" s="16"/>
      <c r="C16" s="16"/>
      <c r="D16" s="7"/>
      <c r="E16" s="21" t="s">
        <v>95</v>
      </c>
      <c r="F16" s="17">
        <f>IF(F15="Friday",16,IF(F15="Thursday",15,IF(F15="Wednesday",14,IF(F15="Tuesday",13,IF(F15="Monday",12,IF(F15="Sunday",11,IF(F15="Saturday",1,0)))))))</f>
        <v>16</v>
      </c>
      <c r="G16"/>
      <c r="H16"/>
      <c r="I16" s="85"/>
    </row>
    <row r="17" spans="1:9" ht="13.5" thickBot="1">
      <c r="A17" s="3"/>
      <c r="B17" s="7"/>
      <c r="C17" s="7"/>
      <c r="D17" s="7"/>
      <c r="E17" s="3"/>
      <c r="F17" s="7"/>
      <c r="G17"/>
      <c r="H17"/>
      <c r="I17" s="85"/>
    </row>
    <row r="18" spans="1:9" ht="15.75" customHeight="1" thickBot="1">
      <c r="A18" s="23"/>
      <c r="B18" s="8"/>
      <c r="C18" s="3"/>
      <c r="D18" s="3"/>
      <c r="E18" s="22" t="s">
        <v>2</v>
      </c>
      <c r="F18" s="94">
        <f>Public_Holidays!S10</f>
        <v>1</v>
      </c>
      <c r="G18"/>
      <c r="H18"/>
      <c r="I18" s="85"/>
    </row>
    <row r="19" spans="1:9" ht="18">
      <c r="A19" s="23"/>
      <c r="B19" s="8"/>
      <c r="C19" s="3"/>
      <c r="D19" s="3"/>
      <c r="E19" s="22" t="s">
        <v>3</v>
      </c>
      <c r="F19" s="3"/>
      <c r="G19"/>
      <c r="H19"/>
      <c r="I19" s="83"/>
    </row>
    <row r="20" spans="1:8" ht="12.75">
      <c r="A20" s="3"/>
      <c r="B20" s="3"/>
      <c r="C20" s="3"/>
      <c r="D20" s="3"/>
      <c r="E20" s="3"/>
      <c r="F20" s="3"/>
      <c r="G20"/>
      <c r="H20"/>
    </row>
    <row r="21" spans="1:8" ht="12.75">
      <c r="A21" s="3"/>
      <c r="B21" s="3"/>
      <c r="C21" s="3"/>
      <c r="D21" s="3"/>
      <c r="E21" s="3"/>
      <c r="F21" s="3"/>
      <c r="G21"/>
      <c r="H21"/>
    </row>
    <row r="22" spans="1:8" ht="12.75">
      <c r="A22"/>
      <c r="B22"/>
      <c r="C22"/>
      <c r="D22"/>
      <c r="E22"/>
      <c r="F22"/>
      <c r="G22"/>
      <c r="H22"/>
    </row>
    <row r="23" spans="1:8" ht="12.75">
      <c r="A23"/>
      <c r="B23"/>
      <c r="C23"/>
      <c r="D23"/>
      <c r="E23"/>
      <c r="F23"/>
      <c r="G23"/>
      <c r="H23"/>
    </row>
    <row r="24" spans="1:8" ht="12.75">
      <c r="A24"/>
      <c r="B24"/>
      <c r="C24"/>
      <c r="D24"/>
      <c r="E24"/>
      <c r="F24"/>
      <c r="G24"/>
      <c r="H24"/>
    </row>
    <row r="25" spans="1:8" ht="12.75">
      <c r="A25"/>
      <c r="B25"/>
      <c r="C25"/>
      <c r="D25"/>
      <c r="E25"/>
      <c r="F25"/>
      <c r="G25"/>
      <c r="H25"/>
    </row>
    <row r="26" spans="1:8" ht="12.75">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row r="32" spans="1:8" ht="12.75" customHeight="1">
      <c r="A32"/>
      <c r="B32"/>
      <c r="C32"/>
      <c r="D32"/>
      <c r="E32"/>
      <c r="F32"/>
      <c r="G32"/>
      <c r="H32"/>
    </row>
    <row r="33" spans="1:8" ht="12.75" customHeight="1">
      <c r="A33"/>
      <c r="B33"/>
      <c r="C33"/>
      <c r="D33"/>
      <c r="E33"/>
      <c r="F33"/>
      <c r="G33"/>
      <c r="H33"/>
    </row>
    <row r="34" spans="1:8" ht="12.75" customHeight="1">
      <c r="A34"/>
      <c r="B34"/>
      <c r="C34"/>
      <c r="D34"/>
      <c r="E34"/>
      <c r="F34"/>
      <c r="G34"/>
      <c r="H34"/>
    </row>
    <row r="35" spans="1:8" ht="12.75" customHeight="1">
      <c r="A35"/>
      <c r="B35"/>
      <c r="C35"/>
      <c r="D35"/>
      <c r="E35"/>
      <c r="F35"/>
      <c r="G35"/>
      <c r="H35"/>
    </row>
    <row r="36" spans="1:8" ht="12.75" customHeight="1">
      <c r="A36"/>
      <c r="B36"/>
      <c r="C36"/>
      <c r="D36"/>
      <c r="E36"/>
      <c r="F36"/>
      <c r="G36"/>
      <c r="H36"/>
    </row>
    <row r="37" spans="1:8" ht="12.75" customHeight="1">
      <c r="A37"/>
      <c r="B37"/>
      <c r="C37"/>
      <c r="D37"/>
      <c r="E37"/>
      <c r="F37"/>
      <c r="G37"/>
      <c r="H37"/>
    </row>
    <row r="38" spans="1:8" ht="12.75" customHeight="1">
      <c r="A38"/>
      <c r="B38"/>
      <c r="C38"/>
      <c r="D38"/>
      <c r="E38"/>
      <c r="F38"/>
      <c r="G38"/>
      <c r="H38"/>
    </row>
    <row r="39" ht="12.75" customHeight="1"/>
  </sheetData>
  <sheetProtection password="CC0B" sheet="1" selectLockedCells="1"/>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S24"/>
  <sheetViews>
    <sheetView zoomScalePageLayoutView="0" workbookViewId="0" topLeftCell="B1">
      <selection activeCell="B7" sqref="B7"/>
    </sheetView>
  </sheetViews>
  <sheetFormatPr defaultColWidth="9.140625" defaultRowHeight="12.75"/>
  <cols>
    <col min="1" max="1" width="18.28125" style="0" bestFit="1" customWidth="1"/>
    <col min="2" max="2" width="13.421875" style="0" customWidth="1"/>
    <col min="3" max="3" width="10.00390625" style="0" bestFit="1" customWidth="1"/>
    <col min="4" max="4" width="11.421875" style="0" bestFit="1" customWidth="1"/>
    <col min="9" max="9" width="12.140625" style="0" customWidth="1"/>
    <col min="10" max="10" width="14.7109375" style="0" customWidth="1"/>
    <col min="15" max="18" width="10.140625" style="0" bestFit="1" customWidth="1"/>
  </cols>
  <sheetData>
    <row r="1" spans="1:19" ht="15.75">
      <c r="A1" s="14" t="s">
        <v>14</v>
      </c>
      <c r="B1" s="14" t="s">
        <v>15</v>
      </c>
      <c r="C1" s="14" t="s">
        <v>29</v>
      </c>
      <c r="D1" s="14" t="s">
        <v>30</v>
      </c>
      <c r="E1" s="14" t="s">
        <v>36</v>
      </c>
      <c r="F1" s="25"/>
      <c r="G1" s="95" t="s">
        <v>16</v>
      </c>
      <c r="H1" s="25"/>
      <c r="I1" s="95" t="s">
        <v>76</v>
      </c>
      <c r="J1" s="25"/>
      <c r="K1" s="25"/>
      <c r="L1" s="25"/>
      <c r="M1" s="96" t="str">
        <f>G15</f>
        <v>January</v>
      </c>
      <c r="N1" s="97">
        <f>DATE(Levy_Forms!H9,VLOOKUP($G$15,Public_Holidays!$G$2:$H$13,2,FALSE),1)</f>
        <v>45292</v>
      </c>
      <c r="O1" s="98">
        <f>IF(MONTH((N1-WEEKDAY(N1,1))+6)&lt;&gt;MONTH(N1),((N1+7-WEEKDAY(N1+7,1))+6),(N1-WEEKDAY(N1,1))+6)</f>
        <v>45296</v>
      </c>
      <c r="P1" s="99" t="s">
        <v>84</v>
      </c>
      <c r="Q1" s="25"/>
      <c r="R1" s="25"/>
      <c r="S1" s="25"/>
    </row>
    <row r="2" spans="1:19" ht="12.75">
      <c r="A2" s="113" t="s">
        <v>4</v>
      </c>
      <c r="B2" s="114">
        <v>45292</v>
      </c>
      <c r="C2" s="25">
        <f aca="true" t="shared" si="0" ref="C2:C12">IF(ISBLANK(B2),0,MONTH(B2))</f>
        <v>1</v>
      </c>
      <c r="D2" s="25">
        <f aca="true" t="shared" si="1" ref="D2:D12">IF(ISBLANK(B2),0,WEEKDAY(B2))</f>
        <v>2</v>
      </c>
      <c r="E2" s="25">
        <f>IF(ISBLANK(B2),0,WEEKNUM(B2,Levy_Guide!$F$16))</f>
        <v>1</v>
      </c>
      <c r="F2" s="25"/>
      <c r="G2" s="99" t="s">
        <v>17</v>
      </c>
      <c r="H2" s="25">
        <v>1</v>
      </c>
      <c r="I2" s="99" t="s">
        <v>77</v>
      </c>
      <c r="J2" s="100"/>
      <c r="K2" s="100"/>
      <c r="L2" s="101" t="s">
        <v>64</v>
      </c>
      <c r="M2" s="102" t="s">
        <v>70</v>
      </c>
      <c r="N2" s="102" t="s">
        <v>71</v>
      </c>
      <c r="O2" s="102" t="s">
        <v>72</v>
      </c>
      <c r="P2" s="102" t="s">
        <v>73</v>
      </c>
      <c r="Q2" s="102" t="s">
        <v>74</v>
      </c>
      <c r="R2" s="102" t="s">
        <v>75</v>
      </c>
      <c r="S2" s="25"/>
    </row>
    <row r="3" spans="1:19" ht="12.75">
      <c r="A3" s="113" t="s">
        <v>5</v>
      </c>
      <c r="B3" s="115">
        <v>45380</v>
      </c>
      <c r="C3" s="25">
        <f t="shared" si="0"/>
        <v>3</v>
      </c>
      <c r="D3" s="25">
        <f t="shared" si="1"/>
        <v>6</v>
      </c>
      <c r="E3" s="25">
        <f>IF(ISBLANK(B3),0,WEEKNUM(B3,Levy_Guide!$F$16))</f>
        <v>13</v>
      </c>
      <c r="F3" s="25"/>
      <c r="G3" s="103" t="s">
        <v>18</v>
      </c>
      <c r="H3" s="25">
        <v>2</v>
      </c>
      <c r="I3" s="99" t="s">
        <v>78</v>
      </c>
      <c r="J3" s="104" t="s">
        <v>31</v>
      </c>
      <c r="K3" s="105" t="s">
        <v>32</v>
      </c>
      <c r="L3" s="102" t="s">
        <v>59</v>
      </c>
      <c r="M3" s="100">
        <f>COUNTIF($C$2:$C$16,VLOOKUP($G$15,Public_Holidays!$G$2:$H$13,2,FALSE))</f>
        <v>1</v>
      </c>
      <c r="N3" s="106"/>
      <c r="O3" s="100"/>
      <c r="P3" s="100"/>
      <c r="Q3" s="100"/>
      <c r="R3" s="100">
        <f>COUNTIF($C$2:$C$16,VLOOKUP($G$15,Public_Holidays!$G$2:$H$13,2,FALSE))</f>
        <v>1</v>
      </c>
      <c r="S3" s="25"/>
    </row>
    <row r="4" spans="1:19" ht="12.75">
      <c r="A4" s="113" t="s">
        <v>6</v>
      </c>
      <c r="B4" s="115">
        <v>45383</v>
      </c>
      <c r="C4" s="25">
        <f t="shared" si="0"/>
        <v>4</v>
      </c>
      <c r="D4" s="25">
        <f t="shared" si="1"/>
        <v>2</v>
      </c>
      <c r="E4" s="25">
        <f>IF(ISBLANK(B4),0,WEEKNUM(B4,Levy_Guide!$F$16))</f>
        <v>14</v>
      </c>
      <c r="F4" s="25"/>
      <c r="G4" s="103" t="s">
        <v>19</v>
      </c>
      <c r="H4" s="25">
        <v>3</v>
      </c>
      <c r="I4" s="99" t="s">
        <v>79</v>
      </c>
      <c r="J4" s="100"/>
      <c r="K4" s="105" t="s">
        <v>33</v>
      </c>
      <c r="L4" s="102" t="s">
        <v>53</v>
      </c>
      <c r="M4" s="100">
        <f>COUNTIF($C$2:$C$16,VLOOKUP($G$15,Public_Holidays!$G$2:$H$13,2,FALSE))</f>
        <v>1</v>
      </c>
      <c r="N4" s="107">
        <f>COUNTIF($E$2:$E$16,"="&amp;WEEKNUM(IF(MONTH(($N$1-WEEKDAY($N$1,1))+6)&lt;&gt;MONTH($N$1),(($N$1+7-WEEKDAY($N$1+7,1))+6),($N$1-WEEKDAY($N$1,1))+6),Levy_Guide!$F$16))</f>
        <v>1</v>
      </c>
      <c r="O4" s="107">
        <f>COUNTIF($E$2:$E$16,"="&amp;WEEKNUM(IF(MONTH(($N$1-WEEKDAY($N$1,1))+6)&lt;&gt;MONTH($N$1),(($N$1+7-WEEKDAY($N$1+7,1))+6),($N$1-WEEKDAY($N$1,1))+6)+7,Levy_Guide!$F$16))</f>
        <v>0</v>
      </c>
      <c r="P4" s="107">
        <f>COUNTIF($E$2:$E$16,"="&amp;WEEKNUM(IF(MONTH(($N$1-WEEKDAY($N$1,1))+6)&lt;&gt;MONTH($N$1),(($N$1+7-WEEKDAY($N$1+7,1))+6),($N$1-WEEKDAY($N$1,1))+6)+14,Levy_Guide!$F$16))</f>
        <v>0</v>
      </c>
      <c r="Q4" s="107">
        <f>COUNTIF($E$2:$E$16,"="&amp;WEEKNUM(IF(MONTH(($N$1-WEEKDAY($N$1,1))+6)&lt;&gt;MONTH($N$1),(($N$1+7-WEEKDAY($N$1+7,1))+6),($N$1-WEEKDAY($N$1,1))+6)+21,Levy_Guide!$F$16))</f>
        <v>0</v>
      </c>
      <c r="R4" s="100">
        <f>COUNTIF($E$2:$E$16,"="&amp;IF(ISERROR(WEEKNUM(IF(MONTH($O$1+28)=MONTH($N$1),$O$1+28,""),Levy_Guide!$F$16)),"",WEEKNUM(IF(MONTH($O$1+28)=MONTH($N$1),$O$1+28,""),Levy_Guide!$F$16)))</f>
        <v>0</v>
      </c>
      <c r="S4" s="25"/>
    </row>
    <row r="5" spans="1:19" ht="12.75">
      <c r="A5" s="113" t="s">
        <v>7</v>
      </c>
      <c r="B5" s="115">
        <v>45418</v>
      </c>
      <c r="C5" s="25">
        <f t="shared" si="0"/>
        <v>5</v>
      </c>
      <c r="D5" s="25">
        <f t="shared" si="1"/>
        <v>2</v>
      </c>
      <c r="E5" s="25">
        <f>IF(ISBLANK(B5),0,WEEKNUM(B5,Levy_Guide!$F$16))</f>
        <v>19</v>
      </c>
      <c r="F5" s="25"/>
      <c r="G5" s="103" t="s">
        <v>20</v>
      </c>
      <c r="H5" s="25">
        <v>4</v>
      </c>
      <c r="I5" s="99" t="s">
        <v>80</v>
      </c>
      <c r="J5" s="100"/>
      <c r="K5" s="105" t="s">
        <v>34</v>
      </c>
      <c r="L5" s="102" t="s">
        <v>56</v>
      </c>
      <c r="M5" s="100">
        <f>COUNTIF($C$2:$C$16,VLOOKUP($G$15,Public_Holidays!$G$2:$H$13,2,FALSE))</f>
        <v>1</v>
      </c>
      <c r="N5" s="106"/>
      <c r="O5" s="100">
        <f>SUM(N4:O4)</f>
        <v>1</v>
      </c>
      <c r="P5" s="100">
        <f>SUM(O4:P4)</f>
        <v>0</v>
      </c>
      <c r="Q5" s="100">
        <f>SUM(P4:Q4)</f>
        <v>0</v>
      </c>
      <c r="R5" s="100">
        <f>SUM(Q4:R4)</f>
        <v>0</v>
      </c>
      <c r="S5" s="25"/>
    </row>
    <row r="6" spans="1:19" ht="12.75">
      <c r="A6" s="113" t="s">
        <v>8</v>
      </c>
      <c r="B6" s="115">
        <v>45432</v>
      </c>
      <c r="C6" s="25">
        <f t="shared" si="0"/>
        <v>5</v>
      </c>
      <c r="D6" s="25">
        <f t="shared" si="1"/>
        <v>2</v>
      </c>
      <c r="E6" s="25">
        <f>IF(ISBLANK(B6),0,WEEKNUM(B6,Levy_Guide!$F$16))</f>
        <v>21</v>
      </c>
      <c r="F6" s="25"/>
      <c r="G6" s="103" t="s">
        <v>21</v>
      </c>
      <c r="H6" s="25">
        <v>5</v>
      </c>
      <c r="I6" s="99" t="s">
        <v>81</v>
      </c>
      <c r="J6" s="100"/>
      <c r="K6" s="105" t="s">
        <v>35</v>
      </c>
      <c r="L6" s="102" t="s">
        <v>58</v>
      </c>
      <c r="M6" s="100">
        <f>COUNTIF($C$2:$C$16,VLOOKUP($G$15,Public_Holidays!$G$2:$H$13,2,FALSE))</f>
        <v>1</v>
      </c>
      <c r="N6" s="106"/>
      <c r="O6" s="100">
        <f>SUM(N4:O4)</f>
        <v>1</v>
      </c>
      <c r="P6" s="100"/>
      <c r="Q6" s="100"/>
      <c r="R6" s="100">
        <f>SUM(P4:R4)</f>
        <v>0</v>
      </c>
      <c r="S6" s="25"/>
    </row>
    <row r="7" spans="1:19" ht="12.75">
      <c r="A7" s="113" t="s">
        <v>9</v>
      </c>
      <c r="B7" s="115">
        <v>45509</v>
      </c>
      <c r="C7" s="25">
        <f t="shared" si="0"/>
        <v>8</v>
      </c>
      <c r="D7" s="25">
        <f t="shared" si="1"/>
        <v>2</v>
      </c>
      <c r="E7" s="25">
        <f>IF(ISBLANK(B7),0,WEEKNUM(B7,Levy_Guide!$F$16))</f>
        <v>32</v>
      </c>
      <c r="F7" s="25"/>
      <c r="G7" s="103" t="s">
        <v>22</v>
      </c>
      <c r="H7" s="25">
        <v>6</v>
      </c>
      <c r="I7" s="99" t="s">
        <v>63</v>
      </c>
      <c r="J7" s="25"/>
      <c r="K7" s="25"/>
      <c r="L7" s="25"/>
      <c r="M7" s="25"/>
      <c r="N7" s="25"/>
      <c r="O7" s="25"/>
      <c r="P7" s="25"/>
      <c r="Q7" s="25"/>
      <c r="R7" s="25"/>
      <c r="S7" s="25"/>
    </row>
    <row r="8" spans="1:19" ht="12.75">
      <c r="A8" s="113" t="s">
        <v>10</v>
      </c>
      <c r="B8" s="115">
        <v>45510</v>
      </c>
      <c r="C8" s="25">
        <f t="shared" si="0"/>
        <v>8</v>
      </c>
      <c r="D8" s="25">
        <f t="shared" si="1"/>
        <v>3</v>
      </c>
      <c r="E8" s="25">
        <f>IF(ISBLANK(B8),0,WEEKNUM(B8,Levy_Guide!$F$16))</f>
        <v>32</v>
      </c>
      <c r="F8" s="25"/>
      <c r="G8" s="103" t="s">
        <v>23</v>
      </c>
      <c r="H8" s="25">
        <v>7</v>
      </c>
      <c r="I8" s="99" t="s">
        <v>82</v>
      </c>
      <c r="J8" s="25"/>
      <c r="K8" s="25"/>
      <c r="L8" s="25"/>
      <c r="M8" s="25"/>
      <c r="N8" s="25"/>
      <c r="O8" s="25"/>
      <c r="P8" s="25"/>
      <c r="Q8" s="25"/>
      <c r="R8" s="25"/>
      <c r="S8" s="25"/>
    </row>
    <row r="9" spans="1:19" ht="15">
      <c r="A9" s="113" t="s">
        <v>11</v>
      </c>
      <c r="B9" s="115">
        <v>45597</v>
      </c>
      <c r="C9" s="25">
        <f t="shared" si="0"/>
        <v>11</v>
      </c>
      <c r="D9" s="25">
        <f t="shared" si="1"/>
        <v>6</v>
      </c>
      <c r="E9" s="25">
        <f>IF(ISBLANK(B9),0,WEEKNUM(B9,Levy_Guide!$F$16))</f>
        <v>44</v>
      </c>
      <c r="F9" s="25"/>
      <c r="G9" s="103" t="s">
        <v>24</v>
      </c>
      <c r="H9" s="25">
        <v>8</v>
      </c>
      <c r="I9" s="25"/>
      <c r="J9" s="108" t="s">
        <v>87</v>
      </c>
      <c r="K9" s="108" t="s">
        <v>41</v>
      </c>
      <c r="L9" s="109" t="s">
        <v>40</v>
      </c>
      <c r="M9" s="108" t="s">
        <v>42</v>
      </c>
      <c r="N9" s="110" t="s">
        <v>88</v>
      </c>
      <c r="O9" s="110" t="s">
        <v>89</v>
      </c>
      <c r="P9" s="110" t="s">
        <v>90</v>
      </c>
      <c r="Q9" s="110" t="s">
        <v>46</v>
      </c>
      <c r="R9" s="110" t="s">
        <v>91</v>
      </c>
      <c r="S9" s="110" t="s">
        <v>94</v>
      </c>
    </row>
    <row r="10" spans="1:19" ht="15">
      <c r="A10" s="113" t="s">
        <v>115</v>
      </c>
      <c r="B10" s="115">
        <v>45635</v>
      </c>
      <c r="C10" s="25">
        <f t="shared" si="0"/>
        <v>12</v>
      </c>
      <c r="D10" s="25">
        <f t="shared" si="1"/>
        <v>2</v>
      </c>
      <c r="E10" s="25">
        <f>IF(ISBLANK(B10),0,WEEKNUM(B10,Levy_Guide!$F$16))</f>
        <v>50</v>
      </c>
      <c r="F10" s="25"/>
      <c r="G10" s="103" t="s">
        <v>25</v>
      </c>
      <c r="H10" s="25">
        <v>9</v>
      </c>
      <c r="I10" s="25"/>
      <c r="J10" s="118">
        <v>10000</v>
      </c>
      <c r="K10" s="118"/>
      <c r="L10" s="119" t="s">
        <v>116</v>
      </c>
      <c r="M10" s="118"/>
      <c r="N10" s="118"/>
      <c r="O10" s="118" t="s">
        <v>116</v>
      </c>
      <c r="P10" s="118" t="s">
        <v>17</v>
      </c>
      <c r="Q10" s="118">
        <v>2024</v>
      </c>
      <c r="R10" s="118" t="s">
        <v>63</v>
      </c>
      <c r="S10" s="118">
        <v>1</v>
      </c>
    </row>
    <row r="11" spans="1:19" ht="15">
      <c r="A11" s="113" t="s">
        <v>12</v>
      </c>
      <c r="B11" s="115">
        <v>45651</v>
      </c>
      <c r="C11" s="25">
        <f t="shared" si="0"/>
        <v>12</v>
      </c>
      <c r="D11" s="25">
        <f t="shared" si="1"/>
        <v>4</v>
      </c>
      <c r="E11" s="25">
        <f>IF(ISBLANK(B11),0,WEEKNUM(B11,Levy_Guide!$F$16))</f>
        <v>52</v>
      </c>
      <c r="F11" s="25"/>
      <c r="G11" s="103" t="s">
        <v>26</v>
      </c>
      <c r="H11" s="25">
        <v>10</v>
      </c>
      <c r="I11" s="25"/>
      <c r="J11" s="25"/>
      <c r="K11" s="25"/>
      <c r="L11" s="111"/>
      <c r="M11" s="118"/>
      <c r="N11" s="25"/>
      <c r="O11" s="25"/>
      <c r="P11" s="25"/>
      <c r="Q11" s="25"/>
      <c r="R11" s="25"/>
      <c r="S11" s="25"/>
    </row>
    <row r="12" spans="1:19" ht="12.75">
      <c r="A12" s="113" t="s">
        <v>13</v>
      </c>
      <c r="B12" s="115">
        <v>45652</v>
      </c>
      <c r="C12" s="25">
        <f t="shared" si="0"/>
        <v>12</v>
      </c>
      <c r="D12" s="25">
        <f t="shared" si="1"/>
        <v>5</v>
      </c>
      <c r="E12" s="25">
        <f>IF(ISBLANK(B12),0,WEEKNUM(B12,Levy_Guide!$F$16))</f>
        <v>52</v>
      </c>
      <c r="F12" s="25"/>
      <c r="G12" s="103" t="s">
        <v>27</v>
      </c>
      <c r="H12" s="25">
        <v>11</v>
      </c>
      <c r="I12" s="25"/>
      <c r="J12" s="25"/>
      <c r="K12" s="25"/>
      <c r="L12" s="25"/>
      <c r="M12" s="25"/>
      <c r="N12" s="25"/>
      <c r="O12" s="25"/>
      <c r="P12" s="25"/>
      <c r="Q12" s="25"/>
      <c r="R12" s="25"/>
      <c r="S12" s="25"/>
    </row>
    <row r="13" spans="1:19" ht="12.75">
      <c r="A13" s="116" t="s">
        <v>65</v>
      </c>
      <c r="B13" s="116"/>
      <c r="C13" s="25">
        <f>IF(ISBLANK(B13),0,MONTH(B13))</f>
        <v>0</v>
      </c>
      <c r="D13" s="25">
        <f>IF(ISBLANK(B13),0,WEEKDAY(B13))</f>
        <v>0</v>
      </c>
      <c r="E13" s="25">
        <f>IF(ISBLANK(B13),0,WEEKNUM(B13,Levy_Guide!$F$16))</f>
        <v>0</v>
      </c>
      <c r="F13" s="25"/>
      <c r="G13" s="103" t="s">
        <v>28</v>
      </c>
      <c r="H13" s="25">
        <v>12</v>
      </c>
      <c r="I13" s="25"/>
      <c r="J13" s="25"/>
      <c r="K13" s="25"/>
      <c r="L13" s="25"/>
      <c r="M13" s="25"/>
      <c r="N13" s="25"/>
      <c r="O13" s="25"/>
      <c r="P13" s="25"/>
      <c r="Q13" s="25"/>
      <c r="R13" s="25"/>
      <c r="S13" s="25"/>
    </row>
    <row r="14" spans="1:19" ht="12.75">
      <c r="A14" s="116" t="s">
        <v>66</v>
      </c>
      <c r="B14" s="116"/>
      <c r="C14" s="25">
        <f>IF(ISBLANK(B14),0,MONTH(B14))</f>
        <v>0</v>
      </c>
      <c r="D14" s="25">
        <f>IF(ISBLANK(B14),0,WEEKDAY(B14))</f>
        <v>0</v>
      </c>
      <c r="E14" s="25">
        <f>IF(ISBLANK(B14),0,WEEKNUM(B14,Levy_Guide!$F$16))</f>
        <v>0</v>
      </c>
      <c r="F14" s="25"/>
      <c r="G14" s="25"/>
      <c r="H14" s="25"/>
      <c r="I14" s="25"/>
      <c r="J14" s="25"/>
      <c r="K14" s="25"/>
      <c r="L14" s="25"/>
      <c r="M14" s="25"/>
      <c r="N14" s="25"/>
      <c r="O14" s="25"/>
      <c r="P14" s="25"/>
      <c r="Q14" s="25"/>
      <c r="R14" s="25"/>
      <c r="S14" s="25"/>
    </row>
    <row r="15" spans="1:19" ht="12.75">
      <c r="A15" s="116" t="s">
        <v>67</v>
      </c>
      <c r="B15" s="117"/>
      <c r="C15" s="25">
        <f>IF(ISBLANK(B15),0,MONTH(B15))</f>
        <v>0</v>
      </c>
      <c r="D15" s="25">
        <f>IF(ISBLANK(B15),0,WEEKDAY(B15))</f>
        <v>0</v>
      </c>
      <c r="E15" s="25">
        <f>IF(ISBLANK(B15),0,WEEKNUM(B15,Levy_Guide!$F$16))</f>
        <v>0</v>
      </c>
      <c r="F15" s="25"/>
      <c r="G15" s="112" t="str">
        <f>Levy_Forms!E9</f>
        <v>January</v>
      </c>
      <c r="H15" s="25"/>
      <c r="I15" s="25"/>
      <c r="J15" s="25"/>
      <c r="K15" s="25"/>
      <c r="L15" s="25"/>
      <c r="M15" s="25"/>
      <c r="N15" s="25"/>
      <c r="O15" s="25"/>
      <c r="P15" s="25"/>
      <c r="Q15" s="25"/>
      <c r="R15" s="25"/>
      <c r="S15" s="25"/>
    </row>
    <row r="16" spans="1:19" ht="12.75">
      <c r="A16" s="116" t="s">
        <v>68</v>
      </c>
      <c r="B16" s="117"/>
      <c r="C16" s="25">
        <f>IF(ISBLANK(B16),0,MONTH(B16))</f>
        <v>0</v>
      </c>
      <c r="D16" s="25">
        <f>IF(ISBLANK(B16),0,WEEKDAY(B16))</f>
        <v>0</v>
      </c>
      <c r="E16" s="25">
        <f>IF(ISBLANK(B16),0,WEEKNUM(B16,Levy_Guide!$F$16))</f>
        <v>0</v>
      </c>
      <c r="F16" s="25"/>
      <c r="G16" s="25"/>
      <c r="H16" s="25"/>
      <c r="I16" s="25"/>
      <c r="J16" s="25"/>
      <c r="K16" s="25"/>
      <c r="L16" s="25"/>
      <c r="M16" s="25"/>
      <c r="N16" s="25"/>
      <c r="O16" s="25"/>
      <c r="P16" s="25"/>
      <c r="Q16" s="25"/>
      <c r="R16" s="25"/>
      <c r="S16" s="25"/>
    </row>
    <row r="18" spans="5:6" ht="12.75">
      <c r="E18" s="15"/>
      <c r="F18" s="15"/>
    </row>
    <row r="19" spans="2:7" ht="12.75">
      <c r="B19" s="13"/>
      <c r="C19" s="13"/>
      <c r="D19" s="15"/>
      <c r="E19" s="69"/>
      <c r="F19" s="69"/>
      <c r="G19" s="15"/>
    </row>
    <row r="20" spans="3:7" ht="12.75">
      <c r="C20" s="13"/>
      <c r="D20" s="15"/>
      <c r="E20" s="69"/>
      <c r="F20" s="69"/>
      <c r="G20" s="15"/>
    </row>
    <row r="21" spans="3:6" ht="12.75">
      <c r="C21" s="13"/>
      <c r="D21" s="15"/>
      <c r="E21" s="69"/>
      <c r="F21" s="69"/>
    </row>
    <row r="22" spans="3:6" ht="12.75">
      <c r="C22" s="13"/>
      <c r="D22" s="15"/>
      <c r="F22" s="69"/>
    </row>
    <row r="24" ht="12.75">
      <c r="D24" s="15"/>
    </row>
  </sheetData>
  <sheetProtection password="CC0B" sheet="1" selectLockedCells="1"/>
  <printOptions/>
  <pageMargins left="0.7" right="0.7" top="0.75" bottom="0.75" header="0.3" footer="0.3"/>
  <pageSetup horizontalDpi="300" verticalDpi="300" orientation="portrait" r:id="rId1"/>
  <ignoredErrors>
    <ignoredError sqref="C13:C16 D13:D14 D16" emptyCellReference="1"/>
  </ignoredErrors>
</worksheet>
</file>

<file path=xl/worksheets/sheet3.xml><?xml version="1.0" encoding="utf-8"?>
<worksheet xmlns="http://schemas.openxmlformats.org/spreadsheetml/2006/main" xmlns:r="http://schemas.openxmlformats.org/officeDocument/2006/relationships">
  <sheetPr codeName="Sheet4"/>
  <dimension ref="A1:R26"/>
  <sheetViews>
    <sheetView zoomScalePageLayoutView="0" workbookViewId="0" topLeftCell="A1">
      <selection activeCell="R31" sqref="R31"/>
    </sheetView>
  </sheetViews>
  <sheetFormatPr defaultColWidth="9.140625" defaultRowHeight="12.75"/>
  <cols>
    <col min="1" max="1" width="8.7109375" style="25" customWidth="1"/>
    <col min="2" max="2" width="14.140625" style="25" customWidth="1"/>
    <col min="3" max="3" width="14.421875" style="25" customWidth="1"/>
    <col min="4" max="4" width="7.421875" style="126" bestFit="1" customWidth="1"/>
    <col min="5" max="5" width="8.7109375" style="25" bestFit="1" customWidth="1"/>
    <col min="6" max="6" width="12.00390625" style="126" customWidth="1"/>
    <col min="7" max="7" width="11.28125" style="25" bestFit="1" customWidth="1"/>
    <col min="8" max="8" width="45.28125" style="126" bestFit="1" customWidth="1"/>
    <col min="9" max="9" width="17.7109375" style="126" customWidth="1"/>
    <col min="10" max="10" width="26.28125" style="126" bestFit="1" customWidth="1"/>
    <col min="11" max="11" width="25.421875" style="126" bestFit="1" customWidth="1"/>
    <col min="12" max="12" width="8.140625" style="25" bestFit="1" customWidth="1"/>
    <col min="13" max="13" width="8.140625" style="25" customWidth="1"/>
    <col min="14" max="14" width="10.7109375" style="25" customWidth="1"/>
    <col min="15" max="15" width="10.8515625" style="25" customWidth="1"/>
    <col min="16" max="17" width="11.00390625" style="25" customWidth="1"/>
    <col min="18" max="18" width="11.421875" style="25" customWidth="1"/>
  </cols>
  <sheetData>
    <row r="1" spans="1:18" ht="15">
      <c r="A1" s="121" t="s">
        <v>98</v>
      </c>
      <c r="B1" s="121" t="s">
        <v>99</v>
      </c>
      <c r="C1" s="122" t="s">
        <v>100</v>
      </c>
      <c r="D1" s="123" t="s">
        <v>101</v>
      </c>
      <c r="E1" s="123" t="s">
        <v>102</v>
      </c>
      <c r="F1" s="123" t="s">
        <v>103</v>
      </c>
      <c r="G1" s="123" t="s">
        <v>104</v>
      </c>
      <c r="H1" s="123" t="s">
        <v>42</v>
      </c>
      <c r="I1" s="123" t="s">
        <v>105</v>
      </c>
      <c r="J1" s="123" t="s">
        <v>106</v>
      </c>
      <c r="K1" s="123" t="s">
        <v>107</v>
      </c>
      <c r="L1" s="124" t="s">
        <v>108</v>
      </c>
      <c r="N1" s="125" t="s">
        <v>109</v>
      </c>
      <c r="O1" s="125" t="s">
        <v>110</v>
      </c>
      <c r="P1" s="125" t="s">
        <v>111</v>
      </c>
      <c r="Q1" s="125" t="s">
        <v>112</v>
      </c>
      <c r="R1" s="125" t="s">
        <v>113</v>
      </c>
    </row>
    <row r="4" spans="6:12" ht="12.75">
      <c r="F4" s="127"/>
      <c r="J4" s="127"/>
      <c r="K4" s="127"/>
      <c r="L4" s="99"/>
    </row>
    <row r="5" spans="6:12" ht="12.75">
      <c r="F5" s="127"/>
      <c r="J5" s="127"/>
      <c r="K5" s="127"/>
      <c r="L5" s="99"/>
    </row>
    <row r="6" spans="6:12" ht="12.75">
      <c r="F6" s="127"/>
      <c r="J6" s="127"/>
      <c r="K6" s="127"/>
      <c r="L6" s="99"/>
    </row>
    <row r="7" spans="6:12" ht="12.75">
      <c r="F7" s="127"/>
      <c r="J7" s="127"/>
      <c r="K7" s="127"/>
      <c r="L7" s="99"/>
    </row>
    <row r="8" spans="6:12" ht="12.75">
      <c r="F8" s="127"/>
      <c r="J8" s="127"/>
      <c r="K8" s="127"/>
      <c r="L8" s="99"/>
    </row>
    <row r="9" spans="6:12" ht="12.75">
      <c r="F9" s="127"/>
      <c r="J9" s="127"/>
      <c r="K9" s="127"/>
      <c r="L9" s="99"/>
    </row>
    <row r="10" spans="6:12" ht="12.75">
      <c r="F10" s="127"/>
      <c r="J10" s="127"/>
      <c r="K10" s="127"/>
      <c r="L10" s="99"/>
    </row>
    <row r="11" spans="6:12" ht="12.75">
      <c r="F11" s="127"/>
      <c r="J11" s="127"/>
      <c r="K11" s="127"/>
      <c r="L11" s="99"/>
    </row>
    <row r="12" spans="6:12" ht="12.75">
      <c r="F12" s="127"/>
      <c r="J12" s="127"/>
      <c r="K12" s="127"/>
      <c r="L12" s="99"/>
    </row>
    <row r="13" spans="6:12" ht="12.75">
      <c r="F13" s="127"/>
      <c r="J13" s="127"/>
      <c r="K13" s="127"/>
      <c r="L13" s="99"/>
    </row>
    <row r="14" spans="6:18" ht="12.75">
      <c r="F14" s="127"/>
      <c r="J14" s="127"/>
      <c r="K14" s="127"/>
      <c r="L14" s="99"/>
      <c r="R14" s="25">
        <v>1240</v>
      </c>
    </row>
    <row r="15" spans="10:18" ht="12.75">
      <c r="J15" s="127"/>
      <c r="K15" s="127"/>
      <c r="L15" s="99"/>
      <c r="O15" s="25">
        <v>850</v>
      </c>
      <c r="R15" s="25">
        <v>850</v>
      </c>
    </row>
    <row r="16" ht="12.75">
      <c r="R16" s="25">
        <v>1280</v>
      </c>
    </row>
    <row r="17" ht="12.75">
      <c r="R17" s="25">
        <v>1300</v>
      </c>
    </row>
    <row r="18" spans="7:18" ht="15">
      <c r="G18" s="128"/>
      <c r="R18" s="25">
        <v>1320</v>
      </c>
    </row>
    <row r="19" ht="12.75">
      <c r="R19" s="25">
        <v>1340</v>
      </c>
    </row>
    <row r="20" ht="12.75">
      <c r="R20" s="25">
        <v>1360</v>
      </c>
    </row>
    <row r="21" ht="12.75">
      <c r="R21" s="25">
        <v>1380</v>
      </c>
    </row>
    <row r="22" ht="12.75">
      <c r="R22" s="25">
        <v>1400</v>
      </c>
    </row>
    <row r="23" ht="12.75">
      <c r="R23" s="25">
        <v>1420</v>
      </c>
    </row>
    <row r="24" ht="12.75">
      <c r="R24" s="25">
        <v>1440</v>
      </c>
    </row>
    <row r="25" ht="12.75">
      <c r="R25" s="25">
        <v>1460</v>
      </c>
    </row>
    <row r="26" ht="12.75">
      <c r="R26" s="25">
        <v>1480</v>
      </c>
    </row>
  </sheetData>
  <sheetProtection password="8783" sheet="1" objects="1" scenarios="1" formatCells="0" selectLockedCells="1"/>
  <dataValidations count="1">
    <dataValidation type="list" showInputMessage="1" showErrorMessage="1" errorTitle="Invalid Entry" error="Must enter &quot;Y&quot; or &quot;N&quot;." sqref="L1:L65536">
      <formula1>"Y, N"</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P79"/>
  <sheetViews>
    <sheetView tabSelected="1" zoomScale="90" zoomScaleNormal="90" workbookViewId="0" topLeftCell="A1">
      <selection activeCell="H18" sqref="H18"/>
    </sheetView>
  </sheetViews>
  <sheetFormatPr defaultColWidth="9.140625" defaultRowHeight="12.75"/>
  <cols>
    <col min="1" max="1" width="11.7109375" style="24" customWidth="1"/>
    <col min="2" max="2" width="28.8515625" style="25" customWidth="1"/>
    <col min="3" max="3" width="9.140625" style="25" customWidth="1"/>
    <col min="4" max="4" width="10.00390625" style="26" customWidth="1"/>
    <col min="5" max="5" width="18.7109375" style="26" bestFit="1" customWidth="1"/>
    <col min="6" max="6" width="10.57421875" style="26" customWidth="1"/>
    <col min="7" max="7" width="10.00390625" style="26" customWidth="1"/>
    <col min="8" max="8" width="13.57421875" style="26" bestFit="1" customWidth="1"/>
    <col min="9" max="9" width="18.140625" style="26" customWidth="1"/>
    <col min="10" max="10" width="12.28125" style="26" customWidth="1"/>
    <col min="11" max="11" width="8.00390625" style="25" customWidth="1"/>
    <col min="12" max="12" width="4.140625" style="25" customWidth="1"/>
    <col min="13" max="13" width="18.28125" style="25" customWidth="1"/>
    <col min="14" max="16384" width="9.140625" style="25" customWidth="1"/>
  </cols>
  <sheetData>
    <row r="1" ht="12.75" customHeight="1">
      <c r="F1" s="30" t="s">
        <v>0</v>
      </c>
    </row>
    <row r="2" spans="1:11" ht="12.75" customHeight="1">
      <c r="A2" s="27"/>
      <c r="F2" s="27" t="s">
        <v>86</v>
      </c>
      <c r="K2" s="29" t="s">
        <v>37</v>
      </c>
    </row>
    <row r="3" spans="6:15" ht="12.75" customHeight="1">
      <c r="F3" s="30" t="s">
        <v>1</v>
      </c>
      <c r="K3" s="31" t="s">
        <v>38</v>
      </c>
      <c r="L3" s="32"/>
      <c r="M3" s="33"/>
      <c r="O3"/>
    </row>
    <row r="4" spans="1:13" ht="12.75" customHeight="1">
      <c r="A4" s="34"/>
      <c r="B4" s="91"/>
      <c r="K4" s="35" t="s">
        <v>39</v>
      </c>
      <c r="L4" s="36"/>
      <c r="M4" s="37"/>
    </row>
    <row r="5" spans="2:8" ht="12.75" customHeight="1">
      <c r="B5" s="38"/>
      <c r="C5" s="39" t="s">
        <v>40</v>
      </c>
      <c r="E5" s="76" t="str">
        <f>Public_Holidays!L10</f>
        <v>JANE DOE</v>
      </c>
      <c r="G5" s="41" t="s">
        <v>114</v>
      </c>
      <c r="H5" s="25">
        <f>Public_Holidays!M11</f>
        <v>0</v>
      </c>
    </row>
    <row r="6" spans="1:15" ht="12.75" customHeight="1">
      <c r="A6" s="34"/>
      <c r="K6" s="39" t="s">
        <v>41</v>
      </c>
      <c r="M6" s="77">
        <f>Public_Holidays!K10</f>
        <v>0</v>
      </c>
      <c r="O6" s="92"/>
    </row>
    <row r="7" spans="1:15" ht="12.75" customHeight="1">
      <c r="A7" s="130"/>
      <c r="B7" s="40"/>
      <c r="C7" s="39" t="s">
        <v>42</v>
      </c>
      <c r="E7" s="76">
        <f>Public_Holidays!M10</f>
        <v>0</v>
      </c>
      <c r="G7" s="41" t="s">
        <v>43</v>
      </c>
      <c r="H7" s="76">
        <f>Public_Holidays!N10</f>
        <v>0</v>
      </c>
      <c r="O7" s="93"/>
    </row>
    <row r="8" spans="1:15" ht="12.75" customHeight="1">
      <c r="A8" s="34"/>
      <c r="K8" s="39" t="s">
        <v>44</v>
      </c>
      <c r="M8" s="77">
        <f>Public_Holidays!J10</f>
        <v>10000</v>
      </c>
      <c r="O8" s="99"/>
    </row>
    <row r="9" spans="1:8" ht="12.75" customHeight="1">
      <c r="A9" s="91"/>
      <c r="C9" s="39" t="s">
        <v>45</v>
      </c>
      <c r="E9" s="76" t="str">
        <f>Public_Holidays!P10</f>
        <v>January</v>
      </c>
      <c r="G9" s="42" t="s">
        <v>46</v>
      </c>
      <c r="H9" s="88">
        <f>Public_Holidays!Q10</f>
        <v>2024</v>
      </c>
    </row>
    <row r="10" spans="1:15" ht="12.75" customHeight="1">
      <c r="A10" s="34"/>
      <c r="O10" s="90"/>
    </row>
    <row r="11" spans="1:13" ht="12.75" customHeight="1">
      <c r="A11" s="150" t="s">
        <v>47</v>
      </c>
      <c r="B11" s="150" t="s">
        <v>48</v>
      </c>
      <c r="C11" s="43" t="s">
        <v>49</v>
      </c>
      <c r="D11" s="156" t="s">
        <v>71</v>
      </c>
      <c r="E11" s="70" t="s">
        <v>72</v>
      </c>
      <c r="F11" s="153" t="s">
        <v>73</v>
      </c>
      <c r="G11" s="153" t="s">
        <v>74</v>
      </c>
      <c r="H11" s="71" t="s">
        <v>75</v>
      </c>
      <c r="I11" s="44" t="s">
        <v>50</v>
      </c>
      <c r="J11" s="153" t="s">
        <v>51</v>
      </c>
      <c r="K11" s="150" t="s">
        <v>52</v>
      </c>
      <c r="L11" s="45" t="s">
        <v>53</v>
      </c>
      <c r="M11" s="157" t="s">
        <v>54</v>
      </c>
    </row>
    <row r="12" spans="1:13" ht="12.75" customHeight="1">
      <c r="A12" s="151"/>
      <c r="B12" s="151"/>
      <c r="C12" s="46">
        <v>0.025</v>
      </c>
      <c r="D12" s="156"/>
      <c r="E12" s="70"/>
      <c r="F12" s="154"/>
      <c r="G12" s="154"/>
      <c r="H12" s="72"/>
      <c r="I12" s="47" t="s">
        <v>55</v>
      </c>
      <c r="J12" s="154"/>
      <c r="K12" s="151"/>
      <c r="L12" s="48" t="s">
        <v>56</v>
      </c>
      <c r="M12" s="158"/>
    </row>
    <row r="13" spans="1:13" ht="12.75" customHeight="1">
      <c r="A13" s="151"/>
      <c r="B13" s="151"/>
      <c r="C13" s="49">
        <v>0.05</v>
      </c>
      <c r="D13" s="156"/>
      <c r="E13" s="70" t="s">
        <v>85</v>
      </c>
      <c r="F13" s="154"/>
      <c r="G13" s="154"/>
      <c r="H13" s="72" t="s">
        <v>85</v>
      </c>
      <c r="I13" s="47" t="s">
        <v>57</v>
      </c>
      <c r="J13" s="154"/>
      <c r="K13" s="151"/>
      <c r="L13" s="48" t="s">
        <v>58</v>
      </c>
      <c r="M13" s="158"/>
    </row>
    <row r="14" spans="1:13" ht="12.75" customHeight="1">
      <c r="A14" s="152"/>
      <c r="B14" s="152"/>
      <c r="C14" s="50"/>
      <c r="D14" s="156"/>
      <c r="E14" s="70"/>
      <c r="F14" s="155"/>
      <c r="G14" s="155"/>
      <c r="H14" s="73" t="s">
        <v>32</v>
      </c>
      <c r="I14" s="51"/>
      <c r="J14" s="155"/>
      <c r="K14" s="152"/>
      <c r="L14" s="52" t="s">
        <v>59</v>
      </c>
      <c r="M14" s="159"/>
    </row>
    <row r="15" spans="1:14" ht="12.75" customHeight="1">
      <c r="A15" s="131"/>
      <c r="B15" s="131"/>
      <c r="C15" s="53" t="s">
        <v>49</v>
      </c>
      <c r="D15" s="74"/>
      <c r="E15" s="74"/>
      <c r="F15" s="74"/>
      <c r="G15" s="74"/>
      <c r="H15" s="74"/>
      <c r="I15" s="140">
        <f>SUM(D15:H15)</f>
        <v>0</v>
      </c>
      <c r="J15" s="143">
        <f>SUM(D16:H17)</f>
        <v>0</v>
      </c>
      <c r="K15" s="144">
        <f>IF(L15="M",4,IF(L15="W",COUNTA(D15:H15),ROUND(COUNTA(D15:H15)*2,0)))</f>
        <v>0</v>
      </c>
      <c r="L15" s="147" t="s">
        <v>53</v>
      </c>
      <c r="M15" s="134"/>
      <c r="N15" s="1"/>
    </row>
    <row r="16" spans="1:13" ht="12.75" customHeight="1">
      <c r="A16" s="132"/>
      <c r="B16" s="132"/>
      <c r="C16" s="56">
        <v>0.025</v>
      </c>
      <c r="D16" s="57">
        <f>IF(L15="W",IF((D15-(D15/5*Public_Holidays!$N$4))&gt;125,IF(((((D15-(D15/5*Public_Holidays!$N$4))*52)-6500)*2.5%)/(52)&gt;25.725,25.725,((((D15-(D15/5*Public_Holidays!$N$4))*52)-6500)*2.5%)/(52)),0),IF(L15="F",IF(D15&gt;250,IF((((D15*26)-6500)*2.5%)/(26)&gt;51.45,51.45,(((D15*26)-6500)*2.5%)/(26)),0),""))</f>
        <v>0</v>
      </c>
      <c r="E16" s="57">
        <f>IF(L15="W",IF((E15-(E15/5*Public_Holidays!$O$4))&gt;125,IF(((((E15-(E15/5*Public_Holidays!$O$4))*52)-6500)*2.5%)/(52)&gt;25.725,25.725,((((E15-(E15/5*Public_Holidays!$O$4))*52)-6500)*2.5%)/(52)),0),IF(L15="F",IF((E15-(E15/10*Public_Holidays!$O$5))&gt;250,IF(((((E15-(E15/10*Public_Holidays!$O$5))*26)-6500)*2.5%)/(26)&gt;51.45,51.45,((((E15-(E15/10*Public_Holidays!$O$5))*26)-6500)*2.5%)/(26)),0),IF(L15="B",IF((E15-(E15*12/52/5*Public_Holidays!$O$6))&gt;270.84,IF(((((E15-(E15*12/52/5*Public_Holidays!$O$6))*24)-6500)*2.5%)/(24)&gt;55.729,55.729,((((E15-(E15*12/52/5*Public_Holidays!$O$6))*24)-6500)*2.5%)/(24)),0),"")))</f>
        <v>0</v>
      </c>
      <c r="F16" s="57">
        <f>IF(L15="W",IF((F15-(F15/5*Public_Holidays!$P$4))&gt;125,IF(((((F15-(F15/5*Public_Holidays!$P$4))*52)-6500)*2.5%)/(52)&gt;25.725,25.725,((((F15-(F15/5*Public_Holidays!$P$4))*52)-6500)*2.5%)/(52)),0),IF(L15="F",IF((F15-(F15/10*Public_Holidays!$P$5))&gt;250,IF(((((F15-(F15/10*Public_Holidays!$P$5))*26)-6500)*2.5%)/(26)&gt;51.45,51.45,((((F15-(F15/10*Public_Holidays!$P$5))*26)-6500)*2.5%)/(26)),0),""))</f>
        <v>0</v>
      </c>
      <c r="G16" s="57">
        <f>IF(L15="W",IF((G15-(G15/5*Public_Holidays!$Q$4))&gt;125,IF(((((G15-(G15/5*Public_Holidays!$Q$4))*52)-6500)*2.5%)/(52)&gt;25.725,25.725,((((G15-(G15/5*Public_Holidays!$Q$4))*52)-6500)*2.5%)/(52)),0),IF(L15="F",IF((G15-(G15/10*Public_Holidays!$Q$5))&gt;250,IF(((((G15-(G15/10*Public_Holidays!$Q$5))*26)-6500)*2.5%)/(26)&gt;51.45,51.45,((((G15-(G15/10*Public_Holidays!$Q$5))*26)-6500)*2.5%)/(26)),0),""))</f>
        <v>0</v>
      </c>
      <c r="H16" s="57">
        <f>IF(L15="W",IF((H15-(H15/5*Public_Holidays!$R$4))&gt;125,IF(((((H15-(H15/5*Public_Holidays!$R$4))*52)-6500)*2.5%)/(52)&gt;25.725,25.725,((((H15-(H15/5*Public_Holidays!$R$4))*52)-6500)*2.5%)/(52)),0),IF(L15="F",IF((H15-(H15/10*Public_Holidays!$R$5))&gt;250,IF(((((H15-(H15/10*Public_Holidays!$R$5))*26)-6500)*2.5%)/(26)&gt;51.45,51.45,((((H15-(H15/10*Public_Holidays!$R$5))*26)-6500)*2.5%)/(26)),0),IF(L15="B",IF((H15-(H15*12/52/5*Public_Holidays!$R$6))&gt;270.84,IF(((((H15-(H15*12/52/5*Public_Holidays!$R$6))*24)-6500)*2.5%)/(24)&gt;55.729,55.729,((((H15-(H15*12/52/5*Public_Holidays!$R$6))*24)-6500)*2.5%)/(24)),0),IF(L15="M",IF((H15-(H15*12/52/5*Public_Holidays!$R$3))&gt;541.67,IF(((((H15-(H15*12/52/5*Public_Holidays!$R$3))*12)-6500)*2.5%)/(12)&gt;111.46,111.46,((((H15-(H15*12/52/5*Public_Holidays!$R$3))*12)-6500)*2.5%)/(12)),0),""))))</f>
        <v>0</v>
      </c>
      <c r="I16" s="141"/>
      <c r="J16" s="141"/>
      <c r="K16" s="145"/>
      <c r="L16" s="148"/>
      <c r="M16" s="135"/>
    </row>
    <row r="17" spans="1:13" ht="12.75" customHeight="1">
      <c r="A17" s="133"/>
      <c r="B17" s="133"/>
      <c r="C17" s="58">
        <v>0.05</v>
      </c>
      <c r="D17" s="57">
        <f>IF(L15="W",IF((D15-(D15/5*Public_Holidays!$N$4))&gt;1154,((((D15-(D15/5*Public_Holidays!$N$4))*52)-60000)*5%)/(52),0),IF(L15="F",IF(D15&gt;2308,(((D15*26)-60000)*5%)/(26),0),""))</f>
        <v>0</v>
      </c>
      <c r="E17" s="57">
        <f>IF(L15="W",IF((E15-(E15/5*Public_Holidays!$O$4))&gt;1154,((((E15-(E15/5*Public_Holidays!$O$4))*52)-60000)*5%)/(52),0),IF(L15="F",IF((E15-(E15/10*Public_Holidays!$O$5))&gt;2308,((((E15-(E15/10*Public_Holidays!$O$5))*26)-60000)*5%)/(26),0),IF(L15="B",IF((E15-(E15*12/52/5*Public_Holidays!$O$6))&gt;2500,((((E15-(E15*12/52/5*Public_Holidays!$O$6))*24)-60000)*5%)/(24),0),"")))</f>
        <v>0</v>
      </c>
      <c r="F17" s="57">
        <f>IF(L15="W",IF((F15-(F15/5*Public_Holidays!$P$4))&gt;1154,((((F15-(F15/5*Public_Holidays!$P$4))*52)-60000)*5%)/(52),0),IF(L15="F",IF((F15-(F15/10*Public_Holidays!$P$5))&gt;2308,((((F15-(F15/10*Public_Holidays!$P$5))*26)-60000)*5%)/(26),0),""))</f>
        <v>0</v>
      </c>
      <c r="G17" s="57">
        <f>IF(L15="W",IF((G15-(G15/5*Public_Holidays!$Q$4))&gt;1154,((((G15-(G15/5*Public_Holidays!$Q$4))*52)-60000)*5%)/(52),0),IF(L15="F",IF((G15-(G15/10*Public_Holidays!$Q$5))&gt;2308,((((G15-(G15/10*Public_Holidays!$Q$5))*26)-60000)*5%)/(26),0),""))</f>
        <v>0</v>
      </c>
      <c r="H17" s="57">
        <f>IF(L15="W",IF((H15-(H15/5*Public_Holidays!$R$4))&gt;1154,((((H15-(H15/5*Public_Holidays!$R$4))*52)-60000)*5%)/(52),0),IF(L15="F",IF((H15-(H15/10*Public_Holidays!$R$5))&gt;2308,((((H15-(H15/10*Public_Holidays!$R$5))*26)-60000)*5%)/(26),0),IF(L15="B",IF((H15-(H15*12/52/5*Public_Holidays!$R$6))&gt;2500,((((H15-(H15*12/52/5*Public_Holidays!$R$6))*24)-60000)*5%)/(24),0),IF(L15="M",IF((H15-(H15*12/52/5*Public_Holidays!$R$3))&gt;5000,((((H15-(H15*12/52/5*Public_Holidays!$R$3))*12)-60000)*5%)/(12),0),""))))</f>
        <v>0</v>
      </c>
      <c r="I17" s="142"/>
      <c r="J17" s="142"/>
      <c r="K17" s="146"/>
      <c r="L17" s="149"/>
      <c r="M17" s="136"/>
    </row>
    <row r="18" spans="1:14" ht="12.75" customHeight="1">
      <c r="A18" s="131"/>
      <c r="B18" s="131"/>
      <c r="C18" s="59" t="s">
        <v>49</v>
      </c>
      <c r="D18" s="75"/>
      <c r="E18" s="75"/>
      <c r="F18" s="75"/>
      <c r="G18" s="75"/>
      <c r="H18" s="75"/>
      <c r="I18" s="140">
        <f>SUM(D18:H18)</f>
        <v>0</v>
      </c>
      <c r="J18" s="143">
        <f>SUM(D19:H20)</f>
        <v>0</v>
      </c>
      <c r="K18" s="144">
        <f>IF(L18="M",4,IF(L18="W",COUNTA(D18:H18),ROUND(COUNTA(D18:H18)*2,0)))</f>
        <v>4</v>
      </c>
      <c r="L18" s="147" t="s">
        <v>59</v>
      </c>
      <c r="M18" s="134"/>
      <c r="N18" s="1"/>
    </row>
    <row r="19" spans="1:13" ht="12.75" customHeight="1">
      <c r="A19" s="132"/>
      <c r="B19" s="132"/>
      <c r="C19" s="56">
        <v>0.025</v>
      </c>
      <c r="D19" s="57">
        <f>IF(L18="W",IF((D18-(D18/5*Public_Holidays!$N$4))&gt;125,IF(((((D18-(D18/5*Public_Holidays!$N$4))*52)-6500)*2.5%)/(52)&gt;25.725,25.725,((((D18-(D18/5*Public_Holidays!$N$4))*52)-6500)*2.5%)/(52)),0),IF(L18="F",IF(D18&gt;250,IF((((D18*26)-6500)*2.5%)/(26)&gt;51.45,51.45,(((D18*26)-6500)*2.5%)/(26)),0),""))</f>
      </c>
      <c r="E19" s="57">
        <f>IF(L18="W",IF((E18-(E18/5*Public_Holidays!$O$4))&gt;125,IF(((((E18-(E18/5*Public_Holidays!$O$4))*52)-6500)*2.5%)/(52)&gt;25.725,25.725,((((E18-(E18/5*Public_Holidays!$O$4))*52)-6500)*2.5%)/(52)),0),IF(L18="F",IF((E18-(E18/10*Public_Holidays!$O$5))&gt;250,IF(((((E18-(E18/10*Public_Holidays!$O$5))*26)-6500)*2.5%)/(26)&gt;51.45,51.45,((((E18-(E18/10*Public_Holidays!$O$5))*26)-6500)*2.5%)/(26)),0),IF(L18="B",IF((E18-(E18*12/52/5*Public_Holidays!$O$6))&gt;270.84,IF(((((E18-(E18*12/52/5*Public_Holidays!$O$6))*24)-6500)*2.5%)/(24)&gt;55.729,55.729,((((E18-(E18*12/52/5*Public_Holidays!$O$6))*24)-6500)*2.5%)/(24)),0),"")))</f>
      </c>
      <c r="F19" s="57">
        <f>IF(L18="W",IF((F18-(F18/5*Public_Holidays!$P$4))&gt;125,IF(((((F18-(F18/5*Public_Holidays!$P$4))*52)-6500)*2.5%)/(52)&gt;25.725,25.725,((((F18-(F18/5*Public_Holidays!$P$4))*52)-6500)*2.5%)/(52)),0),IF(L18="F",IF((F18-(F18/10*Public_Holidays!$P$5))&gt;250,IF(((((F18-(F18/10*Public_Holidays!$P$5))*26)-6500)*2.5%)/(26)&gt;51.45,51.45,((((F18-(F18/10*Public_Holidays!$P$5))*26)-6500)*2.5%)/(26)),0),""))</f>
      </c>
      <c r="G19" s="57">
        <f>IF(L18="W",IF((G18-(G18/5*Public_Holidays!$Q$4))&gt;125,IF(((((G18-(G18/5*Public_Holidays!$Q$4))*52)-6500)*2.5%)/(52)&gt;25.725,25.725,((((G18-(G18/5*Public_Holidays!$Q$4))*52)-6500)*2.5%)/(52)),0),IF(L18="F",IF((G18-(G18/10*Public_Holidays!$Q$5))&gt;250,IF(((((G18-(G18/10*Public_Holidays!$Q$5))*26)-6500)*2.5%)/(26)&gt;51.45,51.45,((((G18-(G18/10*Public_Holidays!$Q$5))*26)-6500)*2.5%)/(26)),0),""))</f>
      </c>
      <c r="H19" s="57">
        <f>IF(L18="W",IF((H18-(H18/5*Public_Holidays!$R$4))&gt;125,IF(((((H18-(H18/5*Public_Holidays!$R$4))*52)-6500)*2.5%)/(52)&gt;25.725,25.725,((((H18-(H18/5*Public_Holidays!$R$4))*52)-6500)*2.5%)/(52)),0),IF(L18="F",IF((H18-(H18/10*Public_Holidays!$R$5))&gt;250,IF(((((H18-(H18/10*Public_Holidays!$R$5))*26)-6500)*2.5%)/(26)&gt;51.45,51.45,((((H18-(H18/10*Public_Holidays!$R$5))*26)-6500)*2.5%)/(26)),0),IF(L18="B",IF((H18-(H18*12/52/5*Public_Holidays!$R$6))&gt;270.84,IF(((((H18-(H18*12/52/5*Public_Holidays!$R$6))*24)-6500)*2.5%)/(24)&gt;55.729,55.729,((((H18-(H18*12/52/5*Public_Holidays!$R$6))*24)-6500)*2.5%)/(24)),0),IF(L18="M",IF((H18-(H18*12/52/5*Public_Holidays!$R$3))&gt;541.67,IF(((((H18-(H18*12/52/5*Public_Holidays!$R$3))*12)-6500)*2.5%)/(12)&gt;111.46,111.46,((((H18-(H18*12/52/5*Public_Holidays!$R$3))*12)-6500)*2.5%)/(12)),0),""))))</f>
        <v>0</v>
      </c>
      <c r="I19" s="141"/>
      <c r="J19" s="141"/>
      <c r="K19" s="145"/>
      <c r="L19" s="148"/>
      <c r="M19" s="135"/>
    </row>
    <row r="20" spans="1:13" ht="12.75" customHeight="1">
      <c r="A20" s="133"/>
      <c r="B20" s="133"/>
      <c r="C20" s="61">
        <v>0.05</v>
      </c>
      <c r="D20" s="57">
        <f>IF(L18="W",IF((D18-(D18/5*Public_Holidays!$N$4))&gt;1154,((((D18-(D18/5*Public_Holidays!$N$4))*52)-60000)*5%)/(52),0),IF(L18="F",IF(D18&gt;2308,(((D18*26)-60000)*5%)/(26),0),""))</f>
      </c>
      <c r="E20" s="57">
        <f>IF(L18="W",IF((E18-(E18/5*Public_Holidays!$O$4))&gt;1154,((((E18-(E18/5*Public_Holidays!$O$4))*52)-60000)*5%)/(52),0),IF(L18="F",IF((E18-(E18/10*Public_Holidays!$O$5))&gt;2308,((((E18-(E18/10*Public_Holidays!$O$5))*26)-60000)*5%)/(26),0),IF(L18="B",IF((E18-(E18*12/52/5*Public_Holidays!$O$6))&gt;2500,((((E18-(E18*12/52/5*Public_Holidays!$O$6))*24)-60000)*5%)/(24),0),"")))</f>
      </c>
      <c r="F20" s="57">
        <f>IF(L18="W",IF((F18-(F18/5*Public_Holidays!$P$4))&gt;1154,((((F18-(F18/5*Public_Holidays!$P$4))*52)-60000)*5%)/(52),0),IF(L18="F",IF((F18-(F18/10*Public_Holidays!$P$5))&gt;2308,((((F18-(F18/10*Public_Holidays!$P$5))*26)-60000)*5%)/(26),0),""))</f>
      </c>
      <c r="G20" s="57">
        <f>IF(L18="W",IF((G18-(G18/5*Public_Holidays!$Q$4))&gt;1154,((((G18-(G18/5*Public_Holidays!$Q$4))*52)-60000)*5%)/(52),0),IF(L18="F",IF((G18-(G18/10*Public_Holidays!$Q$5))&gt;2308,((((G18-(G18/10*Public_Holidays!$Q$5))*26)-60000)*5%)/(26),0),""))</f>
      </c>
      <c r="H20" s="57">
        <f>IF(L18="W",IF((H18-(H18/5*Public_Holidays!$R$4))&gt;1154,((((H18-(H18/5*Public_Holidays!$R$4))*52)-60000)*5%)/(52),0),IF(L18="F",IF((H18-(H18/10*Public_Holidays!$R$5))&gt;2308,((((H18-(H18/10*Public_Holidays!$R$5))*26)-60000)*5%)/(26),0),IF(L18="B",IF((H18-(H18*12/52/5*Public_Holidays!$R$6))&gt;2500,((((H18-(H18*12/52/5*Public_Holidays!$R$6))*24)-60000)*5%)/(24),0),IF(L18="M",IF((H18-(H18*12/52/5*Public_Holidays!$R$3))&gt;5000,((((H18-(H18*12/52/5*Public_Holidays!$R$3))*12)-60000)*5%)/(12),0),""))))</f>
        <v>0</v>
      </c>
      <c r="I20" s="142"/>
      <c r="J20" s="142"/>
      <c r="K20" s="146"/>
      <c r="L20" s="149"/>
      <c r="M20" s="136"/>
    </row>
    <row r="21" spans="1:14" ht="12.75" customHeight="1">
      <c r="A21" s="131"/>
      <c r="B21" s="131"/>
      <c r="C21" s="59" t="s">
        <v>49</v>
      </c>
      <c r="D21" s="75"/>
      <c r="E21" s="75"/>
      <c r="F21" s="75"/>
      <c r="G21" s="75"/>
      <c r="H21" s="75"/>
      <c r="I21" s="140">
        <f>SUM(D21:H21)</f>
        <v>0</v>
      </c>
      <c r="J21" s="143">
        <f>SUM(D22:H23)</f>
        <v>0</v>
      </c>
      <c r="K21" s="144">
        <f>IF(L21="M",4,IF(L21="W",COUNTA(D21:H21),ROUND(COUNTA(D21:H21)*2,0)))</f>
        <v>4</v>
      </c>
      <c r="L21" s="147" t="s">
        <v>59</v>
      </c>
      <c r="M21" s="134"/>
      <c r="N21" s="1"/>
    </row>
    <row r="22" spans="1:13" ht="12.75" customHeight="1">
      <c r="A22" s="132"/>
      <c r="B22" s="132"/>
      <c r="C22" s="56">
        <v>0.025</v>
      </c>
      <c r="D22" s="57">
        <f>IF(L21="W",IF((D21-(D21/5*Public_Holidays!$N$4))&gt;125,IF(((((D21-(D21/5*Public_Holidays!$N$4))*52)-6500)*2.5%)/(52)&gt;25.725,25.725,((((D21-(D21/5*Public_Holidays!$N$4))*52)-6500)*2.5%)/(52)),0),IF(L21="F",IF(D21&gt;250,IF((((D21*26)-6500)*2.5%)/(26)&gt;51.45,51.45,(((D21*26)-6500)*2.5%)/(26)),0),""))</f>
      </c>
      <c r="E22" s="57">
        <f>IF(L21="W",IF((E21-(E21/5*Public_Holidays!$O$4))&gt;125,IF(((((E21-(E21/5*Public_Holidays!$O$4))*52)-6500)*2.5%)/(52)&gt;25.725,25.725,((((E21-(E21/5*Public_Holidays!$O$4))*52)-6500)*2.5%)/(52)),0),IF(L21="F",IF((E21-(E21/10*Public_Holidays!$O$5))&gt;250,IF(((((E21-(E21/10*Public_Holidays!$O$5))*26)-6500)*2.5%)/(26)&gt;51.45,51.45,((((E21-(E21/10*Public_Holidays!$O$5))*26)-6500)*2.5%)/(26)),0),IF(L21="B",IF((E21-(E21*12/52/5*Public_Holidays!$O$6))&gt;270.84,IF(((((E21-(E21*12/52/5*Public_Holidays!$O$6))*24)-6500)*2.5%)/(24)&gt;55.729,55.729,((((E21-(E21*12/52/5*Public_Holidays!$O$6))*24)-6500)*2.5%)/(24)),0),"")))</f>
      </c>
      <c r="F22" s="57">
        <f>IF(L21="W",IF((F21-(F21/5*Public_Holidays!$P$4))&gt;125,IF(((((F21-(F21/5*Public_Holidays!$P$4))*52)-6500)*2.5%)/(52)&gt;25.725,25.725,((((F21-(F21/5*Public_Holidays!$P$4))*52)-6500)*2.5%)/(52)),0),IF(L21="F",IF((F21-(F21/10*Public_Holidays!$P$5))&gt;250,IF(((((F21-(F21/10*Public_Holidays!$P$5))*26)-6500)*2.5%)/(26)&gt;51.45,51.45,((((F21-(F21/10*Public_Holidays!$P$5))*26)-6500)*2.5%)/(26)),0),""))</f>
      </c>
      <c r="G22" s="57">
        <f>IF(L21="W",IF((G21-(G21/5*Public_Holidays!$Q$4))&gt;125,IF(((((G21-(G21/5*Public_Holidays!$Q$4))*52)-6500)*2.5%)/(52)&gt;25.725,25.725,((((G21-(G21/5*Public_Holidays!$Q$4))*52)-6500)*2.5%)/(52)),0),IF(L21="F",IF((G21-(G21/10*Public_Holidays!$Q$5))&gt;250,IF(((((G21-(G21/10*Public_Holidays!$Q$5))*26)-6500)*2.5%)/(26)&gt;51.45,51.45,((((G21-(G21/10*Public_Holidays!$Q$5))*26)-6500)*2.5%)/(26)),0),""))</f>
      </c>
      <c r="H22" s="57">
        <f>IF(L21="W",IF((H21-(H21/5*Public_Holidays!$R$4))&gt;125,IF(((((H21-(H21/5*Public_Holidays!$R$4))*52)-6500)*2.5%)/(52)&gt;25.725,25.725,((((H21-(H21/5*Public_Holidays!$R$4))*52)-6500)*2.5%)/(52)),0),IF(L21="F",IF((H21-(H21/10*Public_Holidays!$R$5))&gt;250,IF(((((H21-(H21/10*Public_Holidays!$R$5))*26)-6500)*2.5%)/(26)&gt;51.45,51.45,((((H21-(H21/10*Public_Holidays!$R$5))*26)-6500)*2.5%)/(26)),0),IF(L21="B",IF((H21-(H21*12/52/5*Public_Holidays!$R$6))&gt;270.84,IF(((((H21-(H21*12/52/5*Public_Holidays!$R$6))*24)-6500)*2.5%)/(24)&gt;55.729,55.729,((((H21-(H21*12/52/5*Public_Holidays!$R$6))*24)-6500)*2.5%)/(24)),0),IF(L21="M",IF((H21-(H21*12/52/5*Public_Holidays!$R$3))&gt;541.67,IF(((((H21-(H21*12/52/5*Public_Holidays!$R$3))*12)-6500)*2.5%)/(12)&gt;111.46,111.46,((((H21-(H21*12/52/5*Public_Holidays!$R$3))*12)-6500)*2.5%)/(12)),0),""))))</f>
        <v>0</v>
      </c>
      <c r="I22" s="141"/>
      <c r="J22" s="141"/>
      <c r="K22" s="145"/>
      <c r="L22" s="148"/>
      <c r="M22" s="135"/>
    </row>
    <row r="23" spans="1:13" ht="12.75" customHeight="1">
      <c r="A23" s="133"/>
      <c r="B23" s="133"/>
      <c r="C23" s="61">
        <v>0.05</v>
      </c>
      <c r="D23" s="57">
        <f>IF(L21="W",IF((D21-(D21/5*Public_Holidays!$N$4))&gt;1154,((((D21-(D21/5*Public_Holidays!$N$4))*52)-60000)*5%)/(52),0),IF(L21="F",IF(D21&gt;2308,(((D21*26)-60000)*5%)/(26),0),""))</f>
      </c>
      <c r="E23" s="57">
        <f>IF(L21="W",IF((E21-(E21/5*Public_Holidays!$O$4))&gt;1154,((((E21-(E21/5*Public_Holidays!$O$4))*52)-60000)*5%)/(52),0),IF(L21="F",IF((E21-(E21/10*Public_Holidays!$O$5))&gt;2308,((((E21-(E21/10*Public_Holidays!$O$5))*26)-60000)*5%)/(26),0),IF(L21="B",IF((E21-(E21*12/52/5*Public_Holidays!$O$6))&gt;2500,((((E21-(E21*12/52/5*Public_Holidays!$O$6))*24)-60000)*5%)/(24),0),"")))</f>
      </c>
      <c r="F23" s="57">
        <f>IF(L21="W",IF((F21-(F21/5*Public_Holidays!$P$4))&gt;1154,((((F21-(F21/5*Public_Holidays!$P$4))*52)-60000)*5%)/(52),0),IF(L21="F",IF((F21-(F21/10*Public_Holidays!$P$5))&gt;2308,((((F21-(F21/10*Public_Holidays!$P$5))*26)-60000)*5%)/(26),0),""))</f>
      </c>
      <c r="G23" s="57">
        <f>IF(L21="W",IF((G21-(G21/5*Public_Holidays!$Q$4))&gt;1154,((((G21-(G21/5*Public_Holidays!$Q$4))*52)-60000)*5%)/(52),0),IF(L21="F",IF((G21-(G21/10*Public_Holidays!$Q$5))&gt;2308,((((G21-(G21/10*Public_Holidays!$Q$5))*26)-60000)*5%)/(26),0),""))</f>
      </c>
      <c r="H23" s="57">
        <f>IF(L21="W",IF((H21-(H21/5*Public_Holidays!$R$4))&gt;1154,((((H21-(H21/5*Public_Holidays!$R$4))*52)-60000)*5%)/(52),0),IF(L21="F",IF((H21-(H21/10*Public_Holidays!$R$5))&gt;2308,((((H21-(H21/10*Public_Holidays!$R$5))*26)-60000)*5%)/(26),0),IF(L21="B",IF((H21-(H21*12/52/5*Public_Holidays!$R$6))&gt;2500,((((H21-(H21*12/52/5*Public_Holidays!$R$6))*24)-60000)*5%)/(24),0),IF(L21="M",IF((H21-(H21*12/52/5*Public_Holidays!$R$3))&gt;5000,((((H21-(H21*12/52/5*Public_Holidays!$R$3))*12)-60000)*5%)/(12),0),""))))</f>
        <v>0</v>
      </c>
      <c r="I23" s="142"/>
      <c r="J23" s="142"/>
      <c r="K23" s="146"/>
      <c r="L23" s="149"/>
      <c r="M23" s="136"/>
    </row>
    <row r="24" spans="1:14" ht="12.75" customHeight="1">
      <c r="A24" s="131"/>
      <c r="B24" s="131"/>
      <c r="C24" s="59" t="s">
        <v>49</v>
      </c>
      <c r="D24" s="75"/>
      <c r="E24" s="75"/>
      <c r="F24" s="75"/>
      <c r="G24" s="75"/>
      <c r="H24" s="75"/>
      <c r="I24" s="140">
        <f>SUM(D24:H24)</f>
        <v>0</v>
      </c>
      <c r="J24" s="143">
        <f>SUM(D25:H26)</f>
        <v>0</v>
      </c>
      <c r="K24" s="144">
        <f>IF(L24="M",4,IF(L24="W",COUNTA(D24:H24),ROUND(COUNTA(D24:H24)*2,0)))</f>
        <v>4</v>
      </c>
      <c r="L24" s="147" t="s">
        <v>59</v>
      </c>
      <c r="M24" s="134"/>
      <c r="N24" s="1"/>
    </row>
    <row r="25" spans="1:13" ht="12.75" customHeight="1">
      <c r="A25" s="132"/>
      <c r="B25" s="132"/>
      <c r="C25" s="56">
        <v>0.025</v>
      </c>
      <c r="D25" s="57">
        <f>IF(L24="W",IF((D24-(D24/5*Public_Holidays!$N$4))&gt;125,IF(((((D24-(D24/5*Public_Holidays!$N$4))*52)-6500)*2.5%)/(52)&gt;25.725,25.725,((((D24-(D24/5*Public_Holidays!$N$4))*52)-6500)*2.5%)/(52)),0),IF(L24="F",IF(D24&gt;250,IF((((D24*26)-6500)*2.5%)/(26)&gt;51.45,51.45,(((D24*26)-6500)*2.5%)/(26)),0),""))</f>
      </c>
      <c r="E25" s="57">
        <f>IF(L24="W",IF((E24-(E24/5*Public_Holidays!$O$4))&gt;125,IF(((((E24-(E24/5*Public_Holidays!$O$4))*52)-6500)*2.5%)/(52)&gt;25.725,25.725,((((E24-(E24/5*Public_Holidays!$O$4))*52)-6500)*2.5%)/(52)),0),IF(L24="F",IF((E24-(E24/10*Public_Holidays!$O$5))&gt;250,IF(((((E24-(E24/10*Public_Holidays!$O$5))*26)-6500)*2.5%)/(26)&gt;51.45,51.45,((((E24-(E24/10*Public_Holidays!$O$5))*26)-6500)*2.5%)/(26)),0),IF(L24="B",IF((E24-(E24*12/52/5*Public_Holidays!$O$6))&gt;270.84,IF(((((E24-(E24*12/52/5*Public_Holidays!$O$6))*24)-6500)*2.5%)/(24)&gt;55.729,55.729,((((E24-(E24*12/52/5*Public_Holidays!$O$6))*24)-6500)*2.5%)/(24)),0),"")))</f>
      </c>
      <c r="F25" s="57">
        <f>IF(L24="W",IF((F24-(F24/5*Public_Holidays!$P$4))&gt;125,IF(((((F24-(F24/5*Public_Holidays!$P$4))*52)-6500)*2.5%)/(52)&gt;25.725,25.725,((((F24-(F24/5*Public_Holidays!$P$4))*52)-6500)*2.5%)/(52)),0),IF(L24="F",IF((F24-(F24/10*Public_Holidays!$P$5))&gt;250,IF(((((F24-(F24/10*Public_Holidays!$P$5))*26)-6500)*2.5%)/(26)&gt;51.45,51.45,((((F24-(F24/10*Public_Holidays!$P$5))*26)-6500)*2.5%)/(26)),0),""))</f>
      </c>
      <c r="G25" s="57">
        <f>IF(L24="W",IF((G24-(G24/5*Public_Holidays!$Q$4))&gt;125,IF(((((G24-(G24/5*Public_Holidays!$Q$4))*52)-6500)*2.5%)/(52)&gt;25.725,25.725,((((G24-(G24/5*Public_Holidays!$Q$4))*52)-6500)*2.5%)/(52)),0),IF(L24="F",IF((G24-(G24/10*Public_Holidays!$Q$5))&gt;250,IF(((((G24-(G24/10*Public_Holidays!$Q$5))*26)-6500)*2.5%)/(26)&gt;51.45,51.45,((((G24-(G24/10*Public_Holidays!$Q$5))*26)-6500)*2.5%)/(26)),0),""))</f>
      </c>
      <c r="H25" s="57">
        <f>IF(L24="W",IF((H24-(H24/5*Public_Holidays!$R$4))&gt;125,IF(((((H24-(H24/5*Public_Holidays!$R$4))*52)-6500)*2.5%)/(52)&gt;25.725,25.725,((((H24-(H24/5*Public_Holidays!$R$4))*52)-6500)*2.5%)/(52)),0),IF(L24="F",IF((H24-(H24/10*Public_Holidays!$R$5))&gt;250,IF(((((H24-(H24/10*Public_Holidays!$R$5))*26)-6500)*2.5%)/(26)&gt;51.45,51.45,((((H24-(H24/10*Public_Holidays!$R$5))*26)-6500)*2.5%)/(26)),0),IF(L24="B",IF((H24-(H24*12/52/5*Public_Holidays!$R$6))&gt;270.84,IF(((((H24-(H24*12/52/5*Public_Holidays!$R$6))*24)-6500)*2.5%)/(24)&gt;55.729,55.729,((((H24-(H24*12/52/5*Public_Holidays!$R$6))*24)-6500)*2.5%)/(24)),0),IF(L24="M",IF((H24-(H24*12/52/5*Public_Holidays!$R$3))&gt;541.67,IF(((((H24-(H24*12/52/5*Public_Holidays!$R$3))*12)-6500)*2.5%)/(12)&gt;111.46,111.46,((((H24-(H24*12/52/5*Public_Holidays!$R$3))*12)-6500)*2.5%)/(12)),0),""))))</f>
        <v>0</v>
      </c>
      <c r="I25" s="141"/>
      <c r="J25" s="141"/>
      <c r="K25" s="145"/>
      <c r="L25" s="148"/>
      <c r="M25" s="135"/>
    </row>
    <row r="26" spans="1:13" ht="12.75" customHeight="1">
      <c r="A26" s="133"/>
      <c r="B26" s="133"/>
      <c r="C26" s="61">
        <v>0.05</v>
      </c>
      <c r="D26" s="57">
        <f>IF(L24="W",IF((D24-(D24/5*Public_Holidays!$N$4))&gt;1154,((((D24-(D24/5*Public_Holidays!$N$4))*52)-60000)*5%)/(52),0),IF(L24="F",IF(D24&gt;2308,(((D24*26)-60000)*5%)/(26),0),""))</f>
      </c>
      <c r="E26" s="57">
        <f>IF(L24="W",IF((E24-(E24/5*Public_Holidays!$O$4))&gt;1154,((((E24-(E24/5*Public_Holidays!$O$4))*52)-60000)*5%)/(52),0),IF(L24="F",IF((E24-(E24/10*Public_Holidays!$O$5))&gt;2308,((((E24-(E24/10*Public_Holidays!$O$5))*26)-60000)*5%)/(26),0),IF(L24="B",IF((E24-(E24*12/52/5*Public_Holidays!$O$6))&gt;2500,((((E24-(E24*12/52/5*Public_Holidays!$O$6))*24)-60000)*5%)/(24),0),"")))</f>
      </c>
      <c r="F26" s="57">
        <f>IF(L24="W",IF((F24-(F24/5*Public_Holidays!$P$4))&gt;1154,((((F24-(F24/5*Public_Holidays!$P$4))*52)-60000)*5%)/(52),0),IF(L24="F",IF((F24-(F24/10*Public_Holidays!$P$5))&gt;2308,((((F24-(F24/10*Public_Holidays!$P$5))*26)-60000)*5%)/(26),0),""))</f>
      </c>
      <c r="G26" s="57">
        <f>IF(L24="W",IF((G24-(G24/5*Public_Holidays!$Q$4))&gt;1154,((((G24-(G24/5*Public_Holidays!$Q$4))*52)-60000)*5%)/(52),0),IF(L24="F",IF((G24-(G24/10*Public_Holidays!$Q$5))&gt;2308,((((G24-(G24/10*Public_Holidays!$Q$5))*26)-60000)*5%)/(26),0),""))</f>
      </c>
      <c r="H26" s="57">
        <f>IF(L24="W",IF((H24-(H24/5*Public_Holidays!$R$4))&gt;1154,((((H24-(H24/5*Public_Holidays!$R$4))*52)-60000)*5%)/(52),0),IF(L24="F",IF((H24-(H24/10*Public_Holidays!$R$5))&gt;2308,((((H24-(H24/10*Public_Holidays!$R$5))*26)-60000)*5%)/(26),0),IF(L24="B",IF((H24-(H24*12/52/5*Public_Holidays!$R$6))&gt;2500,((((H24-(H24*12/52/5*Public_Holidays!$R$6))*24)-60000)*5%)/(24),0),IF(L24="M",IF((H24-(H24*12/52/5*Public_Holidays!$R$3))&gt;5000,((((H24-(H24*12/52/5*Public_Holidays!$R$3))*12)-60000)*5%)/(12),0),""))))</f>
        <v>0</v>
      </c>
      <c r="I26" s="142"/>
      <c r="J26" s="142"/>
      <c r="K26" s="146"/>
      <c r="L26" s="149"/>
      <c r="M26" s="136"/>
    </row>
    <row r="27" spans="1:14" ht="12.75" customHeight="1">
      <c r="A27" s="131"/>
      <c r="B27" s="131"/>
      <c r="C27" s="59" t="s">
        <v>49</v>
      </c>
      <c r="D27" s="75"/>
      <c r="E27" s="75"/>
      <c r="F27" s="75"/>
      <c r="G27" s="75"/>
      <c r="H27" s="75"/>
      <c r="I27" s="140">
        <f>SUM(D27:H27)</f>
        <v>0</v>
      </c>
      <c r="J27" s="143">
        <f>SUM(D28:H29)</f>
        <v>0</v>
      </c>
      <c r="K27" s="144">
        <f>IF(L27="M",4,IF(L27="W",COUNTA(D27:H27),ROUND(COUNTA(D27:H27)*2,0)))</f>
        <v>4</v>
      </c>
      <c r="L27" s="147" t="s">
        <v>59</v>
      </c>
      <c r="M27" s="134"/>
      <c r="N27" s="1"/>
    </row>
    <row r="28" spans="1:13" ht="12.75" customHeight="1">
      <c r="A28" s="132"/>
      <c r="B28" s="132"/>
      <c r="C28" s="56">
        <v>0.025</v>
      </c>
      <c r="D28" s="57">
        <f>IF(L27="W",IF((D27-(D27/5*Public_Holidays!$N$4))&gt;125,IF(((((D27-(D27/5*Public_Holidays!$N$4))*52)-6500)*2.5%)/(52)&gt;25.725,25.725,((((D27-(D27/5*Public_Holidays!$N$4))*52)-6500)*2.5%)/(52)),0),IF(L27="F",IF(D27&gt;250,IF((((D27*26)-6500)*2.5%)/(26)&gt;51.45,51.45,(((D27*26)-6500)*2.5%)/(26)),0),""))</f>
      </c>
      <c r="E28" s="57">
        <f>IF(L27="W",IF((E27-(E27/5*Public_Holidays!$O$4))&gt;125,IF(((((E27-(E27/5*Public_Holidays!$O$4))*52)-6500)*2.5%)/(52)&gt;25.725,25.725,((((E27-(E27/5*Public_Holidays!$O$4))*52)-6500)*2.5%)/(52)),0),IF(L27="F",IF((E27-(E27/10*Public_Holidays!$O$5))&gt;250,IF(((((E27-(E27/10*Public_Holidays!$O$5))*26)-6500)*2.5%)/(26)&gt;51.45,51.45,((((E27-(E27/10*Public_Holidays!$O$5))*26)-6500)*2.5%)/(26)),0),IF(L27="B",IF((E27-(E27*12/52/5*Public_Holidays!$O$6))&gt;270.84,IF(((((E27-(E27*12/52/5*Public_Holidays!$O$6))*24)-6500)*2.5%)/(24)&gt;55.729,55.729,((((E27-(E27*12/52/5*Public_Holidays!$O$6))*24)-6500)*2.5%)/(24)),0),"")))</f>
      </c>
      <c r="F28" s="57">
        <f>IF(L27="W",IF((F27-(F27/5*Public_Holidays!$P$4))&gt;125,IF(((((F27-(F27/5*Public_Holidays!$P$4))*52)-6500)*2.5%)/(52)&gt;25.725,25.725,((((F27-(F27/5*Public_Holidays!$P$4))*52)-6500)*2.5%)/(52)),0),IF(L27="F",IF((F27-(F27/10*Public_Holidays!$P$5))&gt;250,IF(((((F27-(F27/10*Public_Holidays!$P$5))*26)-6500)*2.5%)/(26)&gt;51.45,51.45,((((F27-(F27/10*Public_Holidays!$P$5))*26)-6500)*2.5%)/(26)),0),""))</f>
      </c>
      <c r="G28" s="57">
        <f>IF(L27="W",IF((G27-(G27/5*Public_Holidays!$Q$4))&gt;125,IF(((((G27-(G27/5*Public_Holidays!$Q$4))*52)-6500)*2.5%)/(52)&gt;25.725,25.725,((((G27-(G27/5*Public_Holidays!$Q$4))*52)-6500)*2.5%)/(52)),0),IF(L27="F",IF((G27-(G27/10*Public_Holidays!$Q$5))&gt;250,IF(((((G27-(G27/10*Public_Holidays!$Q$5))*26)-6500)*2.5%)/(26)&gt;51.45,51.45,((((G27-(G27/10*Public_Holidays!$Q$5))*26)-6500)*2.5%)/(26)),0),""))</f>
      </c>
      <c r="H28" s="57">
        <f>IF(L27="W",IF((H27-(H27/5*Public_Holidays!$R$4))&gt;125,IF(((((H27-(H27/5*Public_Holidays!$R$4))*52)-6500)*2.5%)/(52)&gt;25.725,25.725,((((H27-(H27/5*Public_Holidays!$R$4))*52)-6500)*2.5%)/(52)),0),IF(L27="F",IF((H27-(H27/10*Public_Holidays!$R$5))&gt;250,IF(((((H27-(H27/10*Public_Holidays!$R$5))*26)-6500)*2.5%)/(26)&gt;51.45,51.45,((((H27-(H27/10*Public_Holidays!$R$5))*26)-6500)*2.5%)/(26)),0),IF(L27="B",IF((H27-(H27*12/52/5*Public_Holidays!$R$6))&gt;270.84,IF(((((H27-(H27*12/52/5*Public_Holidays!$R$6))*24)-6500)*2.5%)/(24)&gt;55.729,55.729,((((H27-(H27*12/52/5*Public_Holidays!$R$6))*24)-6500)*2.5%)/(24)),0),IF(L27="M",IF((H27-(H27*12/52/5*Public_Holidays!$R$3))&gt;541.67,IF(((((H27-(H27*12/52/5*Public_Holidays!$R$3))*12)-6500)*2.5%)/(12)&gt;111.46,111.46,((((H27-(H27*12/52/5*Public_Holidays!$R$3))*12)-6500)*2.5%)/(12)),0),""))))</f>
        <v>0</v>
      </c>
      <c r="I28" s="141"/>
      <c r="J28" s="141"/>
      <c r="K28" s="145"/>
      <c r="L28" s="148"/>
      <c r="M28" s="135"/>
    </row>
    <row r="29" spans="1:13" ht="12.75" customHeight="1">
      <c r="A29" s="133"/>
      <c r="B29" s="133"/>
      <c r="C29" s="61">
        <v>0.05</v>
      </c>
      <c r="D29" s="57">
        <f>IF(L27="W",IF((D27-(D27/5*Public_Holidays!$N$4))&gt;1154,((((D27-(D27/5*Public_Holidays!$N$4))*52)-60000)*5%)/(52),0),IF(L27="F",IF(D27&gt;2308,(((D27*26)-60000)*5%)/(26),0),""))</f>
      </c>
      <c r="E29" s="57">
        <f>IF(L27="W",IF((E27-(E27/5*Public_Holidays!$O$4))&gt;1154,((((E27-(E27/5*Public_Holidays!$O$4))*52)-60000)*5%)/(52),0),IF(L27="F",IF((E27-(E27/10*Public_Holidays!$O$5))&gt;2308,((((E27-(E27/10*Public_Holidays!$O$5))*26)-60000)*5%)/(26),0),IF(L27="B",IF((E27-(E27*12/52/5*Public_Holidays!$O$6))&gt;2500,((((E27-(E27*12/52/5*Public_Holidays!$O$6))*24)-60000)*5%)/(24),0),"")))</f>
      </c>
      <c r="F29" s="57">
        <f>IF(L27="W",IF((F27-(F27/5*Public_Holidays!$P$4))&gt;1154,((((F27-(F27/5*Public_Holidays!$P$4))*52)-60000)*5%)/(52),0),IF(L27="F",IF((F27-(F27/10*Public_Holidays!$P$5))&gt;2308,((((F27-(F27/10*Public_Holidays!$P$5))*26)-60000)*5%)/(26),0),""))</f>
      </c>
      <c r="G29" s="57">
        <f>IF(L27="W",IF((G27-(G27/5*Public_Holidays!$Q$4))&gt;1154,((((G27-(G27/5*Public_Holidays!$Q$4))*52)-60000)*5%)/(52),0),IF(L27="F",IF((G27-(G27/10*Public_Holidays!$Q$5))&gt;2308,((((G27-(G27/10*Public_Holidays!$Q$5))*26)-60000)*5%)/(26),0),""))</f>
      </c>
      <c r="H29" s="57">
        <f>IF(L27="W",IF((H27-(H27/5*Public_Holidays!$R$4))&gt;1154,((((H27-(H27/5*Public_Holidays!$R$4))*52)-60000)*5%)/(52),0),IF(L27="F",IF((H27-(H27/10*Public_Holidays!$R$5))&gt;2308,((((H27-(H27/10*Public_Holidays!$R$5))*26)-60000)*5%)/(26),0),IF(L27="B",IF((H27-(H27*12/52/5*Public_Holidays!$R$6))&gt;2500,((((H27-(H27*12/52/5*Public_Holidays!$R$6))*24)-60000)*5%)/(24),0),IF(L27="M",IF((H27-(H27*12/52/5*Public_Holidays!$R$3))&gt;5000,((((H27-(H27*12/52/5*Public_Holidays!$R$3))*12)-60000)*5%)/(12),0),""))))</f>
        <v>0</v>
      </c>
      <c r="I29" s="142"/>
      <c r="J29" s="142"/>
      <c r="K29" s="146"/>
      <c r="L29" s="149"/>
      <c r="M29" s="136"/>
    </row>
    <row r="30" spans="1:14" ht="12.75" customHeight="1">
      <c r="A30" s="131"/>
      <c r="B30" s="131"/>
      <c r="C30" s="59" t="s">
        <v>49</v>
      </c>
      <c r="D30" s="75"/>
      <c r="E30" s="75"/>
      <c r="F30" s="75"/>
      <c r="G30" s="75"/>
      <c r="H30" s="75"/>
      <c r="I30" s="140">
        <f>SUM(D30:H30)</f>
        <v>0</v>
      </c>
      <c r="J30" s="143">
        <f>SUM(D31:H32)</f>
        <v>0</v>
      </c>
      <c r="K30" s="144">
        <f>IF(L30="M",4,IF(L30="W",COUNTA(D30:H30),ROUND(COUNTA(D30:H30)*2,0)))</f>
        <v>4</v>
      </c>
      <c r="L30" s="147" t="s">
        <v>59</v>
      </c>
      <c r="M30" s="134"/>
      <c r="N30" s="1"/>
    </row>
    <row r="31" spans="1:16" ht="12.75" customHeight="1">
      <c r="A31" s="132"/>
      <c r="B31" s="132"/>
      <c r="C31" s="56">
        <v>0.025</v>
      </c>
      <c r="D31" s="57">
        <f>IF(L30="W",IF((D30-(D30/5*Public_Holidays!$N$4))&gt;125,IF(((((D30-(D30/5*Public_Holidays!$N$4))*52)-6500)*2.5%)/(52)&gt;25.725,25.725,((((D30-(D30/5*Public_Holidays!$N$4))*52)-6500)*2.5%)/(52)),0),IF(L30="F",IF(D30&gt;250,IF((((D30*26)-6500)*2.5%)/(26)&gt;51.45,51.45,(((D30*26)-6500)*2.5%)/(26)),0),""))</f>
      </c>
      <c r="E31" s="57">
        <f>IF(L30="W",IF((E30-(E30/5*Public_Holidays!$O$4))&gt;125,IF(((((E30-(E30/5*Public_Holidays!$O$4))*52)-6500)*2.5%)/(52)&gt;25.725,25.725,((((E30-(E30/5*Public_Holidays!$O$4))*52)-6500)*2.5%)/(52)),0),IF(L30="F",IF((E30-(E30/10*Public_Holidays!$O$5))&gt;250,IF(((((E30-(E30/10*Public_Holidays!$O$5))*26)-6500)*2.5%)/(26)&gt;51.45,51.45,((((E30-(E30/10*Public_Holidays!$O$5))*26)-6500)*2.5%)/(26)),0),IF(L30="B",IF((E30-(E30*12/52/5*Public_Holidays!$O$6))&gt;270.84,IF(((((E30-(E30*12/52/5*Public_Holidays!$O$6))*24)-6500)*2.5%)/(24)&gt;55.729,55.729,((((E30-(E30*12/52/5*Public_Holidays!$O$6))*24)-6500)*2.5%)/(24)),0),"")))</f>
      </c>
      <c r="F31" s="57">
        <f>IF(L30="W",IF((F30-(F30/5*Public_Holidays!$P$4))&gt;125,IF(((((F30-(F30/5*Public_Holidays!$P$4))*52)-6500)*2.5%)/(52)&gt;25.725,25.725,((((F30-(F30/5*Public_Holidays!$P$4))*52)-6500)*2.5%)/(52)),0),IF(L30="F",IF((F30-(F30/10*Public_Holidays!$P$5))&gt;250,IF(((((F30-(F30/10*Public_Holidays!$P$5))*26)-6500)*2.5%)/(26)&gt;51.45,51.45,((((F30-(F30/10*Public_Holidays!$P$5))*26)-6500)*2.5%)/(26)),0),""))</f>
      </c>
      <c r="G31" s="57">
        <f>IF(L30="W",IF((G30-(G30/5*Public_Holidays!$Q$4))&gt;125,IF(((((G30-(G30/5*Public_Holidays!$Q$4))*52)-6500)*2.5%)/(52)&gt;25.725,25.725,((((G30-(G30/5*Public_Holidays!$Q$4))*52)-6500)*2.5%)/(52)),0),IF(L30="F",IF((G30-(G30/10*Public_Holidays!$Q$5))&gt;250,IF(((((G30-(G30/10*Public_Holidays!$Q$5))*26)-6500)*2.5%)/(26)&gt;51.45,51.45,((((G30-(G30/10*Public_Holidays!$Q$5))*26)-6500)*2.5%)/(26)),0),""))</f>
      </c>
      <c r="H31" s="57">
        <f>IF(L30="W",IF((H30-(H30/5*Public_Holidays!$R$4))&gt;125,IF(((((H30-(H30/5*Public_Holidays!$R$4))*52)-6500)*2.5%)/(52)&gt;25.725,25.725,((((H30-(H30/5*Public_Holidays!$R$4))*52)-6500)*2.5%)/(52)),0),IF(L30="F",IF((H30-(H30/10*Public_Holidays!$R$5))&gt;250,IF(((((H30-(H30/10*Public_Holidays!$R$5))*26)-6500)*2.5%)/(26)&gt;51.45,51.45,((((H30-(H30/10*Public_Holidays!$R$5))*26)-6500)*2.5%)/(26)),0),IF(L30="B",IF((H30-(H30*12/52/5*Public_Holidays!$R$6))&gt;270.84,IF(((((H30-(H30*12/52/5*Public_Holidays!$R$6))*24)-6500)*2.5%)/(24)&gt;55.729,55.729,((((H30-(H30*12/52/5*Public_Holidays!$R$6))*24)-6500)*2.5%)/(24)),0),IF(L30="M",IF((H30-(H30*12/52/5*Public_Holidays!$R$3))&gt;541.67,IF(((((H30-(H30*12/52/5*Public_Holidays!$R$3))*12)-6500)*2.5%)/(12)&gt;111.46,111.46,((((H30-(H30*12/52/5*Public_Holidays!$R$3))*12)-6500)*2.5%)/(12)),0),""))))</f>
        <v>0</v>
      </c>
      <c r="I31" s="141"/>
      <c r="J31" s="141"/>
      <c r="K31" s="145"/>
      <c r="L31" s="148"/>
      <c r="M31" s="135"/>
      <c r="P31" s="86"/>
    </row>
    <row r="32" spans="1:16" ht="12.75" customHeight="1">
      <c r="A32" s="133"/>
      <c r="B32" s="133"/>
      <c r="C32" s="61">
        <v>0.05</v>
      </c>
      <c r="D32" s="57">
        <f>IF(L30="W",IF((D30-(D30/5*Public_Holidays!$N$4))&gt;1154,((((D30-(D30/5*Public_Holidays!$N$4))*52)-60000)*5%)/(52),0),IF(L30="F",IF(D30&gt;2308,(((D30*26)-60000)*5%)/(26),0),""))</f>
      </c>
      <c r="E32" s="57">
        <f>IF(L30="W",IF((E30-(E30/5*Public_Holidays!$O$4))&gt;1154,((((E30-(E30/5*Public_Holidays!$O$4))*52)-60000)*5%)/(52),0),IF(L30="F",IF((E30-(E30/10*Public_Holidays!$O$5))&gt;2308,((((E30-(E30/10*Public_Holidays!$O$5))*26)-60000)*5%)/(26),0),IF(L30="B",IF((E30-(E30*12/52/5*Public_Holidays!$O$6))&gt;2500,((((E30-(E30*12/52/5*Public_Holidays!$O$6))*24)-60000)*5%)/(24),0),"")))</f>
      </c>
      <c r="F32" s="57">
        <f>IF(L30="W",IF((F30-(F30/5*Public_Holidays!$P$4))&gt;1154,((((F30-(F30/5*Public_Holidays!$P$4))*52)-60000)*5%)/(52),0),IF(L30="F",IF((F30-(F30/10*Public_Holidays!$P$5))&gt;2308,((((F30-(F30/10*Public_Holidays!$P$5))*26)-60000)*5%)/(26),0),""))</f>
      </c>
      <c r="G32" s="57">
        <f>IF(L30="W",IF((G30-(G30/5*Public_Holidays!$Q$4))&gt;1154,((((G30-(G30/5*Public_Holidays!$Q$4))*52)-60000)*5%)/(52),0),IF(L30="F",IF((G30-(G30/10*Public_Holidays!$Q$5))&gt;2308,((((G30-(G30/10*Public_Holidays!$Q$5))*26)-60000)*5%)/(26),0),""))</f>
      </c>
      <c r="H32" s="57">
        <f>IF(L30="W",IF((H30-(H30/5*Public_Holidays!$R$4))&gt;1154,((((H30-(H30/5*Public_Holidays!$R$4))*52)-60000)*5%)/(52),0),IF(L30="F",IF((H30-(H30/10*Public_Holidays!$R$5))&gt;2308,((((H30-(H30/10*Public_Holidays!$R$5))*26)-60000)*5%)/(26),0),IF(L30="B",IF((H30-(H30*12/52/5*Public_Holidays!$R$6))&gt;2500,((((H30-(H30*12/52/5*Public_Holidays!$R$6))*24)-60000)*5%)/(24),0),IF(L30="M",IF((H30-(H30*12/52/5*Public_Holidays!$R$3))&gt;5000,((((H30-(H30*12/52/5*Public_Holidays!$R$3))*12)-60000)*5%)/(12),0),""))))</f>
        <v>0</v>
      </c>
      <c r="I32" s="142"/>
      <c r="J32" s="142"/>
      <c r="K32" s="146"/>
      <c r="L32" s="149"/>
      <c r="M32" s="136"/>
      <c r="P32" s="86"/>
    </row>
    <row r="33" spans="1:16" ht="12.75" customHeight="1">
      <c r="A33" s="62" t="s">
        <v>60</v>
      </c>
      <c r="B33" s="63"/>
      <c r="C33" s="63"/>
      <c r="D33" s="64"/>
      <c r="E33" s="64"/>
      <c r="F33" s="64"/>
      <c r="G33" s="64"/>
      <c r="H33" s="64"/>
      <c r="I33" s="65">
        <f>SUM(I15:I30)</f>
        <v>0</v>
      </c>
      <c r="J33" s="65">
        <f>SUM(J15:J30)</f>
        <v>0</v>
      </c>
      <c r="K33" s="63"/>
      <c r="L33" s="63"/>
      <c r="M33" s="63"/>
      <c r="P33" s="86"/>
    </row>
    <row r="34" spans="1:16" ht="12.75" customHeight="1">
      <c r="A34" s="66"/>
      <c r="G34" s="137" t="s">
        <v>92</v>
      </c>
      <c r="H34" s="138"/>
      <c r="I34" s="138"/>
      <c r="J34" s="138"/>
      <c r="K34" s="138"/>
      <c r="L34" s="138"/>
      <c r="M34" s="138"/>
      <c r="P34" s="86"/>
    </row>
    <row r="35" spans="1:16" ht="12.75" customHeight="1">
      <c r="A35" s="67" t="s">
        <v>61</v>
      </c>
      <c r="G35" s="139"/>
      <c r="H35" s="139"/>
      <c r="I35" s="139"/>
      <c r="J35" s="139"/>
      <c r="K35" s="139"/>
      <c r="L35" s="139"/>
      <c r="M35" s="139"/>
      <c r="P35" s="86"/>
    </row>
    <row r="36" spans="1:16" ht="12.75" customHeight="1">
      <c r="A36" s="67" t="s">
        <v>96</v>
      </c>
      <c r="B36" s="120" t="str">
        <f>CONCATENATE("   ",Public_Holidays!O10)</f>
        <v>   JANE DOE</v>
      </c>
      <c r="G36" s="139"/>
      <c r="H36" s="139"/>
      <c r="I36" s="139"/>
      <c r="J36" s="139"/>
      <c r="K36" s="139"/>
      <c r="L36" s="139"/>
      <c r="M36" s="139"/>
      <c r="P36" s="86"/>
    </row>
    <row r="37" spans="4:16" ht="12.75" customHeight="1">
      <c r="D37" s="67" t="s">
        <v>62</v>
      </c>
      <c r="E37" s="129">
        <f ca="1">TODAY()</f>
        <v>45341</v>
      </c>
      <c r="G37" s="139"/>
      <c r="H37" s="139"/>
      <c r="I37" s="139"/>
      <c r="J37" s="139"/>
      <c r="K37" s="139"/>
      <c r="L37" s="139"/>
      <c r="M37" s="139"/>
      <c r="O37" s="89"/>
      <c r="P37" s="86"/>
    </row>
    <row r="38" spans="1:16" ht="12.75" customHeight="1">
      <c r="A38" s="67" t="s">
        <v>97</v>
      </c>
      <c r="G38" s="139"/>
      <c r="H38" s="139"/>
      <c r="I38" s="139"/>
      <c r="J38" s="139"/>
      <c r="K38" s="139"/>
      <c r="L38" s="139"/>
      <c r="M38" s="139"/>
      <c r="P38" s="86"/>
    </row>
    <row r="39" spans="7:16" ht="12.75" customHeight="1">
      <c r="G39" s="139"/>
      <c r="H39" s="139"/>
      <c r="I39" s="139"/>
      <c r="J39" s="139"/>
      <c r="K39" s="139"/>
      <c r="L39" s="139"/>
      <c r="M39" s="139"/>
      <c r="P39" s="86"/>
    </row>
    <row r="40" ht="12.75" customHeight="1"/>
    <row r="41" ht="12.75" customHeight="1">
      <c r="F41" s="30" t="s">
        <v>0</v>
      </c>
    </row>
    <row r="42" spans="1:11" ht="12.75" customHeight="1">
      <c r="A42" s="27"/>
      <c r="C42" s="28"/>
      <c r="F42" s="27" t="s">
        <v>86</v>
      </c>
      <c r="K42" s="29" t="s">
        <v>37</v>
      </c>
    </row>
    <row r="43" spans="6:13" ht="12.75" customHeight="1">
      <c r="F43" s="30" t="s">
        <v>1</v>
      </c>
      <c r="K43" s="31" t="s">
        <v>38</v>
      </c>
      <c r="L43" s="32"/>
      <c r="M43" s="33"/>
    </row>
    <row r="44" spans="1:13" ht="12.75" customHeight="1">
      <c r="A44" s="34"/>
      <c r="K44" s="35" t="s">
        <v>39</v>
      </c>
      <c r="L44" s="36"/>
      <c r="M44" s="37"/>
    </row>
    <row r="45" spans="2:8" ht="12.75" customHeight="1">
      <c r="B45" s="38"/>
      <c r="C45" s="39" t="s">
        <v>40</v>
      </c>
      <c r="E45" s="68" t="str">
        <f>E5</f>
        <v>JANE DOE</v>
      </c>
      <c r="G45" s="41" t="s">
        <v>114</v>
      </c>
      <c r="H45" s="25">
        <f>H5</f>
        <v>0</v>
      </c>
    </row>
    <row r="46" spans="1:13" ht="12.75" customHeight="1">
      <c r="A46" s="34"/>
      <c r="K46" s="39" t="s">
        <v>41</v>
      </c>
      <c r="M46" s="78">
        <f>M6</f>
        <v>0</v>
      </c>
    </row>
    <row r="47" spans="2:8" ht="12.75" customHeight="1">
      <c r="B47" s="40"/>
      <c r="C47" s="39" t="s">
        <v>42</v>
      </c>
      <c r="E47" s="68">
        <f>E7</f>
        <v>0</v>
      </c>
      <c r="G47" s="41" t="s">
        <v>43</v>
      </c>
      <c r="H47" s="68">
        <f>H7</f>
        <v>0</v>
      </c>
    </row>
    <row r="48" spans="1:13" ht="12.75" customHeight="1">
      <c r="A48" s="34"/>
      <c r="K48" s="39" t="s">
        <v>44</v>
      </c>
      <c r="M48" s="78">
        <f>M8</f>
        <v>10000</v>
      </c>
    </row>
    <row r="49" spans="1:8" ht="12.75" customHeight="1">
      <c r="A49" s="34"/>
      <c r="C49" s="39" t="s">
        <v>45</v>
      </c>
      <c r="E49" s="68" t="str">
        <f>E9</f>
        <v>January</v>
      </c>
      <c r="G49" s="42" t="s">
        <v>46</v>
      </c>
      <c r="H49" s="87">
        <f>H9</f>
        <v>2024</v>
      </c>
    </row>
    <row r="50" ht="12.75" customHeight="1">
      <c r="A50" s="34"/>
    </row>
    <row r="51" spans="1:13" ht="12.75" customHeight="1">
      <c r="A51" s="150" t="s">
        <v>47</v>
      </c>
      <c r="B51" s="150" t="s">
        <v>48</v>
      </c>
      <c r="C51" s="43" t="s">
        <v>49</v>
      </c>
      <c r="D51" s="156" t="s">
        <v>71</v>
      </c>
      <c r="E51" s="70" t="s">
        <v>72</v>
      </c>
      <c r="F51" s="153" t="s">
        <v>73</v>
      </c>
      <c r="G51" s="153" t="s">
        <v>74</v>
      </c>
      <c r="H51" s="71" t="s">
        <v>75</v>
      </c>
      <c r="I51" s="44" t="s">
        <v>50</v>
      </c>
      <c r="J51" s="153" t="s">
        <v>51</v>
      </c>
      <c r="K51" s="150" t="s">
        <v>52</v>
      </c>
      <c r="L51" s="45" t="s">
        <v>53</v>
      </c>
      <c r="M51" s="157" t="s">
        <v>54</v>
      </c>
    </row>
    <row r="52" spans="1:13" ht="12.75" customHeight="1">
      <c r="A52" s="151"/>
      <c r="B52" s="151"/>
      <c r="C52" s="46">
        <v>0.025</v>
      </c>
      <c r="D52" s="156"/>
      <c r="E52" s="70"/>
      <c r="F52" s="154"/>
      <c r="G52" s="154"/>
      <c r="H52" s="72"/>
      <c r="I52" s="47" t="s">
        <v>55</v>
      </c>
      <c r="J52" s="154"/>
      <c r="K52" s="151"/>
      <c r="L52" s="48" t="s">
        <v>56</v>
      </c>
      <c r="M52" s="158"/>
    </row>
    <row r="53" spans="1:13" ht="12.75" customHeight="1">
      <c r="A53" s="151"/>
      <c r="B53" s="151"/>
      <c r="C53" s="49">
        <v>0.05</v>
      </c>
      <c r="D53" s="156"/>
      <c r="E53" s="70" t="s">
        <v>85</v>
      </c>
      <c r="F53" s="154"/>
      <c r="G53" s="154"/>
      <c r="H53" s="72" t="s">
        <v>85</v>
      </c>
      <c r="I53" s="47" t="s">
        <v>57</v>
      </c>
      <c r="J53" s="154"/>
      <c r="K53" s="151"/>
      <c r="L53" s="48" t="s">
        <v>58</v>
      </c>
      <c r="M53" s="158"/>
    </row>
    <row r="54" spans="1:13" ht="12.75" customHeight="1">
      <c r="A54" s="152"/>
      <c r="B54" s="152"/>
      <c r="C54" s="50"/>
      <c r="D54" s="156"/>
      <c r="E54" s="70"/>
      <c r="F54" s="155"/>
      <c r="G54" s="155"/>
      <c r="H54" s="73" t="s">
        <v>32</v>
      </c>
      <c r="I54" s="51"/>
      <c r="J54" s="155"/>
      <c r="K54" s="152"/>
      <c r="L54" s="52" t="s">
        <v>59</v>
      </c>
      <c r="M54" s="159"/>
    </row>
    <row r="55" spans="1:13" ht="12.75" customHeight="1">
      <c r="A55" s="131"/>
      <c r="B55" s="131"/>
      <c r="C55" s="53" t="s">
        <v>49</v>
      </c>
      <c r="D55" s="54"/>
      <c r="E55" s="54"/>
      <c r="F55" s="55"/>
      <c r="G55" s="55"/>
      <c r="H55" s="54"/>
      <c r="I55" s="140">
        <f>SUM(D55:H55)</f>
        <v>0</v>
      </c>
      <c r="J55" s="143">
        <f>SUM(D56:H57)</f>
        <v>0</v>
      </c>
      <c r="K55" s="144">
        <f>IF(L55="M",4,IF(L55="W",COUNTA(D55:H55),ROUND(COUNTA(D55:H55)*2,0)))</f>
        <v>4</v>
      </c>
      <c r="L55" s="147" t="s">
        <v>59</v>
      </c>
      <c r="M55" s="134"/>
    </row>
    <row r="56" spans="1:13" ht="12.75" customHeight="1">
      <c r="A56" s="132"/>
      <c r="B56" s="132"/>
      <c r="C56" s="56">
        <v>0.025</v>
      </c>
      <c r="D56" s="57">
        <f>IF(L55="W",IF((D55-(D55/5*Public_Holidays!$N$4))&gt;125,IF(((((D55-(D55/5*Public_Holidays!$N$4))*52)-6500)*2.5%)/(52)&gt;25.725,25.725,((((D55-(D55/5*Public_Holidays!$N$4))*52)-6500)*2.5%)/(52)),0),IF(L55="F",IF(D55&gt;250,IF((((D55*26)-6500)*2.5%)/(26)&gt;51.45,51.45,(((D55*26)-6500)*2.5%)/(26)),0),""))</f>
      </c>
      <c r="E56" s="57">
        <f>IF(L55="W",IF((E55-(E55/5*Public_Holidays!$O$4))&gt;125,IF(((((E55-(E55/5*Public_Holidays!$O$4))*52)-6500)*2.5%)/(52)&gt;25.725,25.725,((((E55-(E55/5*Public_Holidays!$O$4))*52)-6500)*2.5%)/(52)),0),IF(L55="F",IF((E55-(E55/10*Public_Holidays!$O$5))&gt;250,IF(((((E55-(E55/10*Public_Holidays!$O$5))*26)-6500)*2.5%)/(26)&gt;51.45,51.45,((((E55-(E55/10*Public_Holidays!$O$5))*26)-6500)*2.5%)/(26)),0),IF(L55="B",IF((E55-(E55*12/52/5*Public_Holidays!$O$6))&gt;270.84,IF(((((E55-(E55*12/52/5*Public_Holidays!$O$6))*24)-6500)*2.5%)/(24)&gt;55.729,55.729,((((E55-(E55*12/52/5*Public_Holidays!$O$6))*24)-6500)*2.5%)/(24)),0),"")))</f>
      </c>
      <c r="F56" s="57">
        <f>IF(L55="W",IF((F55-(F55/5*Public_Holidays!$P$4))&gt;125,IF(((((F55-(F55/5*Public_Holidays!$P$4))*52)-6500)*2.5%)/(52)&gt;25.725,25.725,((((F55-(F55/5*Public_Holidays!$P$4))*52)-6500)*2.5%)/(52)),0),IF(L55="F",IF((F55-(F55/10*Public_Holidays!$P$5))&gt;250,IF(((((F55-(F55/10*Public_Holidays!$P$5))*26)-6500)*2.5%)/(26)&gt;51.45,51.45,((((F55-(F55/10*Public_Holidays!$P$5))*26)-6500)*2.5%)/(26)),0),""))</f>
      </c>
      <c r="G56" s="57">
        <f>IF(L55="W",IF((G55-(G55/5*Public_Holidays!$Q$4))&gt;125,IF(((((G55-(G55/5*Public_Holidays!$Q$4))*52)-6500)*2.5%)/(52)&gt;25.725,25.725,((((G55-(G55/5*Public_Holidays!$Q$4))*52)-6500)*2.5%)/(52)),0),IF(L55="F",IF((G55-(G55/10*Public_Holidays!$Q$5))&gt;250,IF(((((G55-(G55/10*Public_Holidays!$Q$5))*26)-6500)*2.5%)/(26)&gt;51.45,51.45,((((G55-(G55/10*Public_Holidays!$Q$5))*26)-6500)*2.5%)/(26)),0),""))</f>
      </c>
      <c r="H56" s="57">
        <f>IF(L55="W",IF((H55-(H55/5*Public_Holidays!$R$4))&gt;125,IF(((((H55-(H55/5*Public_Holidays!$R$4))*52)-6500)*2.5%)/(52)&gt;25.725,25.725,((((H55-(H55/5*Public_Holidays!$R$4))*52)-6500)*2.5%)/(52)),0),IF(L55="F",IF((H55-(H55/10*Public_Holidays!$R$5))&gt;250,IF(((((H55-(H55/10*Public_Holidays!$R$5))*26)-6500)*2.5%)/(26)&gt;51.45,51.45,((((H55-(H55/10*Public_Holidays!$R$5))*26)-6500)*2.5%)/(26)),0),IF(L55="B",IF((H55-(H55*12/52/5*Public_Holidays!$R$6))&gt;270.84,IF(((((H55-(H55*12/52/5*Public_Holidays!$R$6))*24)-6500)*2.5%)/(24)&gt;55.729,55.729,((((H55-(H55*12/52/5*Public_Holidays!$R$6))*24)-6500)*2.5%)/(24)),0),IF(L55="M",IF((H55-(H55*12/52/5*Public_Holidays!$R$3))&gt;541.67,IF(((((H55-(H55*12/52/5*Public_Holidays!$R$3))*12)-6500)*2.5%)/(12)&gt;111.46,111.46,((((H55-(H55*12/52/5*Public_Holidays!$R$3))*12)-6500)*2.5%)/(12)),0),""))))</f>
        <v>0</v>
      </c>
      <c r="I56" s="141"/>
      <c r="J56" s="141"/>
      <c r="K56" s="145"/>
      <c r="L56" s="148"/>
      <c r="M56" s="135"/>
    </row>
    <row r="57" spans="1:13" ht="12.75" customHeight="1">
      <c r="A57" s="133"/>
      <c r="B57" s="133"/>
      <c r="C57" s="58">
        <v>0.05</v>
      </c>
      <c r="D57" s="57">
        <f>IF(L55="W",IF((D55-(D55/5*Public_Holidays!$N$4))&gt;1154,((((D55-(D55/5*Public_Holidays!$N$4))*52)-60000)*5%)/(52),0),IF(L55="F",IF(D55&gt;2308,(((D55*26)-60000)*5%)/(26),0),""))</f>
      </c>
      <c r="E57" s="57">
        <f>IF(L55="W",IF((E55-(E55/5*Public_Holidays!$O$4))&gt;1154,((((E55-(E55/5*Public_Holidays!$O$4))*52)-60000)*5%)/(52),0),IF(L55="F",IF((E55-(E55/10*Public_Holidays!$O$5))&gt;2308,((((E55-(E55/10*Public_Holidays!$O$5))*26)-60000)*5%)/(26),0),IF(L55="B",IF((E55-(E55*12/52/5*Public_Holidays!$O$6))&gt;2500,((((E55-(E55*12/52/5*Public_Holidays!$O$6))*24)-60000)*5%)/(24),0),"")))</f>
      </c>
      <c r="F57" s="57">
        <f>IF(L55="W",IF((F55-(F55/5*Public_Holidays!$P$4))&gt;1154,((((F55-(F55/5*Public_Holidays!$P$4))*52)-60000)*5%)/(52),0),IF(L55="F",IF((F55-(F55/10*Public_Holidays!$P$5))&gt;2308,((((F55-(F55/10*Public_Holidays!$P$5))*26)-60000)*5%)/(26),0),""))</f>
      </c>
      <c r="G57" s="57">
        <f>IF(L55="W",IF((G55-(G55/5*Public_Holidays!$Q$4))&gt;1154,((((G55-(G55/5*Public_Holidays!$Q$4))*52)-60000)*5%)/(52),0),IF(L55="F",IF((G55-(G55/10*Public_Holidays!$Q$5))&gt;2308,((((G55-(G55/10*Public_Holidays!$Q$5))*26)-60000)*5%)/(26),0),""))</f>
      </c>
      <c r="H57" s="57">
        <f>IF(L55="W",IF((H55-(H55/5*Public_Holidays!$R$4))&gt;1154,((((H55-(H55/5*Public_Holidays!$R$4))*52)-60000)*5%)/(52),0),IF(L55="F",IF((H55-(H55/10*Public_Holidays!$R$5))&gt;2308,((((H55-(H55/10*Public_Holidays!$R$5))*26)-60000)*5%)/(26),0),IF(L55="B",IF((H55-(H55*12/52/5*Public_Holidays!$R$6))&gt;2500,((((H55-(H55*12/52/5*Public_Holidays!$R$6))*24)-60000)*5%)/(24),0),IF(L55="M",IF((H55-(H55*12/52/5*Public_Holidays!$R$3))&gt;5000,((((H55-(H55*12/52/5*Public_Holidays!$R$3))*12)-60000)*5%)/(12),0),""))))</f>
        <v>0</v>
      </c>
      <c r="I57" s="142"/>
      <c r="J57" s="142"/>
      <c r="K57" s="146"/>
      <c r="L57" s="149"/>
      <c r="M57" s="136"/>
    </row>
    <row r="58" spans="1:13" ht="12.75" customHeight="1">
      <c r="A58" s="131"/>
      <c r="B58" s="131"/>
      <c r="C58" s="59" t="s">
        <v>49</v>
      </c>
      <c r="D58" s="60"/>
      <c r="E58" s="60"/>
      <c r="F58" s="60"/>
      <c r="G58" s="60"/>
      <c r="H58" s="60"/>
      <c r="I58" s="140">
        <f>SUM(D58:H58)</f>
        <v>0</v>
      </c>
      <c r="J58" s="143">
        <f>SUM(D59:H60)</f>
        <v>0</v>
      </c>
      <c r="K58" s="144">
        <f>IF(L58="M",4,IF(L58="W",COUNTA(D58:H58),ROUND(COUNTA(D58:H58)*2,0)))</f>
        <v>4</v>
      </c>
      <c r="L58" s="147" t="s">
        <v>59</v>
      </c>
      <c r="M58" s="134"/>
    </row>
    <row r="59" spans="1:13" ht="12.75" customHeight="1">
      <c r="A59" s="132"/>
      <c r="B59" s="132"/>
      <c r="C59" s="56">
        <v>0.025</v>
      </c>
      <c r="D59" s="57">
        <f>IF(L58="W",IF((D58-(D58/5*Public_Holidays!$N$4))&gt;125,IF(((((D58-(D58/5*Public_Holidays!$N$4))*52)-6500)*2.5%)/(52)&gt;25.725,25.725,((((D58-(D58/5*Public_Holidays!$N$4))*52)-6500)*2.5%)/(52)),0),IF(L58="F",IF(D58&gt;250,IF((((D58*26)-6500)*2.5%)/(26)&gt;51.45,51.45,(((D58*26)-6500)*2.5%)/(26)),0),""))</f>
      </c>
      <c r="E59" s="57">
        <f>IF(L58="W",IF((E58-(E58/5*Public_Holidays!$O$4))&gt;125,IF(((((E58-(E58/5*Public_Holidays!$O$4))*52)-6500)*2.5%)/(52)&gt;25.725,25.725,((((E58-(E58/5*Public_Holidays!$O$4))*52)-6500)*2.5%)/(52)),0),IF(L58="F",IF((E58-(E58/10*Public_Holidays!$O$5))&gt;250,IF(((((E58-(E58/10*Public_Holidays!$O$5))*26)-6500)*2.5%)/(26)&gt;51.45,51.45,((((E58-(E58/10*Public_Holidays!$O$5))*26)-6500)*2.5%)/(26)),0),IF(L58="B",IF((E58-(E58*12/52/5*Public_Holidays!$O$6))&gt;270.84,IF(((((E58-(E58*12/52/5*Public_Holidays!$O$6))*24)-6500)*2.5%)/(24)&gt;55.729,55.729,((((E58-(E58*12/52/5*Public_Holidays!$O$6))*24)-6500)*2.5%)/(24)),0),"")))</f>
      </c>
      <c r="F59" s="57">
        <f>IF(L58="W",IF((F58-(F58/5*Public_Holidays!$P$4))&gt;125,IF(((((F58-(F58/5*Public_Holidays!$P$4))*52)-6500)*2.5%)/(52)&gt;25.725,25.725,((((F58-(F58/5*Public_Holidays!$P$4))*52)-6500)*2.5%)/(52)),0),IF(L58="F",IF((F58-(F58/10*Public_Holidays!$P$5))&gt;250,IF(((((F58-(F58/10*Public_Holidays!$P$5))*26)-6500)*2.5%)/(26)&gt;51.45,51.45,((((F58-(F58/10*Public_Holidays!$P$5))*26)-6500)*2.5%)/(26)),0),""))</f>
      </c>
      <c r="G59" s="57">
        <f>IF(L58="W",IF((G58-(G58/5*Public_Holidays!$Q$4))&gt;125,IF(((((G58-(G58/5*Public_Holidays!$Q$4))*52)-6500)*2.5%)/(52)&gt;25.725,25.725,((((G58-(G58/5*Public_Holidays!$Q$4))*52)-6500)*2.5%)/(52)),0),IF(L58="F",IF((G58-(G58/10*Public_Holidays!$Q$5))&gt;250,IF(((((G58-(G58/10*Public_Holidays!$Q$5))*26)-6500)*2.5%)/(26)&gt;51.45,51.45,((((G58-(G58/10*Public_Holidays!$Q$5))*26)-6500)*2.5%)/(26)),0),""))</f>
      </c>
      <c r="H59" s="57">
        <f>IF(L58="W",IF((H58-(H58/5*Public_Holidays!$R$4))&gt;125,IF(((((H58-(H58/5*Public_Holidays!$R$4))*52)-6500)*2.5%)/(52)&gt;25.725,25.725,((((H58-(H58/5*Public_Holidays!$R$4))*52)-6500)*2.5%)/(52)),0),IF(L58="F",IF((H58-(H58/10*Public_Holidays!$R$5))&gt;250,IF(((((H58-(H58/10*Public_Holidays!$R$5))*26)-6500)*2.5%)/(26)&gt;51.45,51.45,((((H58-(H58/10*Public_Holidays!$R$5))*26)-6500)*2.5%)/(26)),0),IF(L58="B",IF((H58-(H58*12/52/5*Public_Holidays!$R$6))&gt;270.84,IF(((((H58-(H58*12/52/5*Public_Holidays!$R$6))*24)-6500)*2.5%)/(24)&gt;55.729,55.729,((((H58-(H58*12/52/5*Public_Holidays!$R$6))*24)-6500)*2.5%)/(24)),0),IF(L58="M",IF((H58-(H58*12/52/5*Public_Holidays!$R$3))&gt;541.67,IF(((((H58-(H58*12/52/5*Public_Holidays!$R$3))*12)-6500)*2.5%)/(12)&gt;111.46,111.46,((((H58-(H58*12/52/5*Public_Holidays!$R$3))*12)-6500)*2.5%)/(12)),0),""))))</f>
        <v>0</v>
      </c>
      <c r="I59" s="141"/>
      <c r="J59" s="141"/>
      <c r="K59" s="145"/>
      <c r="L59" s="148"/>
      <c r="M59" s="135"/>
    </row>
    <row r="60" spans="1:13" ht="12.75" customHeight="1">
      <c r="A60" s="133"/>
      <c r="B60" s="133"/>
      <c r="C60" s="61">
        <v>0.05</v>
      </c>
      <c r="D60" s="57">
        <f>IF(L58="W",IF((D58-(D58/5*Public_Holidays!$N$4))&gt;1154,((((D58-(D58/5*Public_Holidays!$N$4))*52)-60000)*5%)/(52),0),IF(L58="F",IF(D58&gt;2308,(((D58*26)-60000)*5%)/(26),0),""))</f>
      </c>
      <c r="E60" s="57">
        <f>IF(L58="W",IF((E58-(E58/5*Public_Holidays!$O$4))&gt;1154,((((E58-(E58/5*Public_Holidays!$O$4))*52)-60000)*5%)/(52),0),IF(L58="F",IF((E58-(E58/10*Public_Holidays!$O$5))&gt;2308,((((E58-(E58/10*Public_Holidays!$O$5))*26)-60000)*5%)/(26),0),IF(L58="B",IF((E58-(E58*12/52/5*Public_Holidays!$O$6))&gt;2500,((((E58-(E58*12/52/5*Public_Holidays!$O$6))*24)-60000)*5%)/(24),0),"")))</f>
      </c>
      <c r="F60" s="57">
        <f>IF(L58="W",IF((F58-(F58/5*Public_Holidays!$P$4))&gt;1154,((((F58-(F58/5*Public_Holidays!$P$4))*52)-60000)*5%)/(52),0),IF(L58="F",IF((F58-(F58/10*Public_Holidays!$P$5))&gt;2308,((((F58-(F58/10*Public_Holidays!$P$5))*26)-60000)*5%)/(26),0),""))</f>
      </c>
      <c r="G60" s="57">
        <f>IF(L58="W",IF((G58-(G58/5*Public_Holidays!$Q$4))&gt;1154,((((G58-(G58/5*Public_Holidays!$Q$4))*52)-60000)*5%)/(52),0),IF(L58="F",IF((G58-(G58/10*Public_Holidays!$Q$5))&gt;2308,((((G58-(G58/10*Public_Holidays!$Q$5))*26)-60000)*5%)/(26),0),""))</f>
      </c>
      <c r="H60" s="57">
        <f>IF(L58="W",IF((H58-(H58/5*Public_Holidays!$R$4))&gt;1154,((((H58-(H58/5*Public_Holidays!$R$4))*52)-60000)*5%)/(52),0),IF(L58="F",IF((H58-(H58/10*Public_Holidays!$R$5))&gt;2308,((((H58-(H58/10*Public_Holidays!$R$5))*26)-60000)*5%)/(26),0),IF(L58="B",IF((H58-(H58*12/52/5*Public_Holidays!$R$6))&gt;2500,((((H58-(H58*12/52/5*Public_Holidays!$R$6))*24)-60000)*5%)/(24),0),IF(L58="M",IF((H58-(H58*12/52/5*Public_Holidays!$R$3))&gt;5000,((((H58-(H58*12/52/5*Public_Holidays!$R$3))*12)-60000)*5%)/(12),0),""))))</f>
        <v>0</v>
      </c>
      <c r="I60" s="142"/>
      <c r="J60" s="142"/>
      <c r="K60" s="146"/>
      <c r="L60" s="149"/>
      <c r="M60" s="136"/>
    </row>
    <row r="61" spans="1:13" ht="12.75" customHeight="1">
      <c r="A61" s="131"/>
      <c r="B61" s="131"/>
      <c r="C61" s="59" t="s">
        <v>49</v>
      </c>
      <c r="D61" s="60"/>
      <c r="E61" s="60"/>
      <c r="F61" s="60"/>
      <c r="G61" s="60"/>
      <c r="H61" s="60"/>
      <c r="I61" s="140">
        <f>SUM(D61:H61)</f>
        <v>0</v>
      </c>
      <c r="J61" s="143">
        <f>SUM(D62:H63)</f>
        <v>0</v>
      </c>
      <c r="K61" s="144">
        <f>IF(L61="M",4,IF(L61="W",COUNTA(D61:H61),ROUND(COUNTA(D61:H61)*2,0)))</f>
        <v>4</v>
      </c>
      <c r="L61" s="147" t="s">
        <v>59</v>
      </c>
      <c r="M61" s="134"/>
    </row>
    <row r="62" spans="1:13" ht="12.75" customHeight="1">
      <c r="A62" s="132"/>
      <c r="B62" s="132"/>
      <c r="C62" s="56">
        <v>0.025</v>
      </c>
      <c r="D62" s="57">
        <f>IF(L61="W",IF((D61-(D61/5*Public_Holidays!$N$4))&gt;125,IF(((((D61-(D61/5*Public_Holidays!$N$4))*52)-6500)*2.5%)/(52)&gt;25.725,25.725,((((D61-(D61/5*Public_Holidays!$N$4))*52)-6500)*2.5%)/(52)),0),IF(L61="F",IF(D61&gt;250,IF((((D61*26)-6500)*2.5%)/(26)&gt;51.45,51.45,(((D61*26)-6500)*2.5%)/(26)),0),""))</f>
      </c>
      <c r="E62" s="57">
        <f>IF(L61="W",IF((E61-(E61/5*Public_Holidays!$O$4))&gt;125,IF(((((E61-(E61/5*Public_Holidays!$O$4))*52)-6500)*2.5%)/(52)&gt;25.725,25.725,((((E61-(E61/5*Public_Holidays!$O$4))*52)-6500)*2.5%)/(52)),0),IF(L61="F",IF((E61-(E61/10*Public_Holidays!$O$5))&gt;250,IF(((((E61-(E61/10*Public_Holidays!$O$5))*26)-6500)*2.5%)/(26)&gt;51.45,51.45,((((E61-(E61/10*Public_Holidays!$O$5))*26)-6500)*2.5%)/(26)),0),IF(L61="B",IF((E61-(E61*12/52/5*Public_Holidays!$O$6))&gt;270.84,IF(((((E61-(E61*12/52/5*Public_Holidays!$O$6))*24)-6500)*2.5%)/(24)&gt;55.729,55.729,((((E61-(E61*12/52/5*Public_Holidays!$O$6))*24)-6500)*2.5%)/(24)),0),"")))</f>
      </c>
      <c r="F62" s="57">
        <f>IF(L61="W",IF((F61-(F61/5*Public_Holidays!$P$4))&gt;125,IF(((((F61-(F61/5*Public_Holidays!$P$4))*52)-6500)*2.5%)/(52)&gt;25.725,25.725,((((F61-(F61/5*Public_Holidays!$P$4))*52)-6500)*2.5%)/(52)),0),IF(L61="F",IF((F61-(F61/10*Public_Holidays!$P$5))&gt;250,IF(((((F61-(F61/10*Public_Holidays!$P$5))*26)-6500)*2.5%)/(26)&gt;51.45,51.45,((((F61-(F61/10*Public_Holidays!$P$5))*26)-6500)*2.5%)/(26)),0),""))</f>
      </c>
      <c r="G62" s="57">
        <f>IF(L61="W",IF((G61-(G61/5*Public_Holidays!$Q$4))&gt;125,IF(((((G61-(G61/5*Public_Holidays!$Q$4))*52)-6500)*2.5%)/(52)&gt;25.725,25.725,((((G61-(G61/5*Public_Holidays!$Q$4))*52)-6500)*2.5%)/(52)),0),IF(L61="F",IF((G61-(G61/10*Public_Holidays!$Q$5))&gt;250,IF(((((G61-(G61/10*Public_Holidays!$Q$5))*26)-6500)*2.5%)/(26)&gt;51.45,51.45,((((G61-(G61/10*Public_Holidays!$Q$5))*26)-6500)*2.5%)/(26)),0),""))</f>
      </c>
      <c r="H62" s="57">
        <f>IF(L61="W",IF((H61-(H61/5*Public_Holidays!$R$4))&gt;125,IF(((((H61-(H61/5*Public_Holidays!$R$4))*52)-6500)*2.5%)/(52)&gt;25.725,25.725,((((H61-(H61/5*Public_Holidays!$R$4))*52)-6500)*2.5%)/(52)),0),IF(L61="F",IF((H61-(H61/10*Public_Holidays!$R$5))&gt;250,IF(((((H61-(H61/10*Public_Holidays!$R$5))*26)-6500)*2.5%)/(26)&gt;51.45,51.45,((((H61-(H61/10*Public_Holidays!$R$5))*26)-6500)*2.5%)/(26)),0),IF(L61="B",IF((H61-(H61*12/52/5*Public_Holidays!$R$6))&gt;270.84,IF(((((H61-(H61*12/52/5*Public_Holidays!$R$6))*24)-6500)*2.5%)/(24)&gt;55.729,55.729,((((H61-(H61*12/52/5*Public_Holidays!$R$6))*24)-6500)*2.5%)/(24)),0),IF(L61="M",IF((H61-(H61*12/52/5*Public_Holidays!$R$3))&gt;541.67,IF(((((H61-(H61*12/52/5*Public_Holidays!$R$3))*12)-6500)*2.5%)/(12)&gt;111.46,111.46,((((H61-(H61*12/52/5*Public_Holidays!$R$3))*12)-6500)*2.5%)/(12)),0),""))))</f>
        <v>0</v>
      </c>
      <c r="I62" s="141"/>
      <c r="J62" s="141"/>
      <c r="K62" s="145"/>
      <c r="L62" s="148"/>
      <c r="M62" s="135"/>
    </row>
    <row r="63" spans="1:13" ht="12.75" customHeight="1">
      <c r="A63" s="133"/>
      <c r="B63" s="133"/>
      <c r="C63" s="61">
        <v>0.05</v>
      </c>
      <c r="D63" s="57">
        <f>IF(L61="W",IF((D61-(D61/5*Public_Holidays!$N$4))&gt;1154,((((D61-(D61/5*Public_Holidays!$N$4))*52)-60000)*5%)/(52),0),IF(L61="F",IF(D61&gt;2308,(((D61*26)-60000)*5%)/(26),0),""))</f>
      </c>
      <c r="E63" s="57">
        <f>IF(L61="W",IF((E61-(E61/5*Public_Holidays!$O$4))&gt;1154,((((E61-(E61/5*Public_Holidays!$O$4))*52)-60000)*5%)/(52),0),IF(L61="F",IF((E61-(E61/10*Public_Holidays!$O$5))&gt;2308,((((E61-(E61/10*Public_Holidays!$O$5))*26)-60000)*5%)/(26),0),IF(L61="B",IF((E61-(E61*12/52/5*Public_Holidays!$O$6))&gt;2500,((((E61-(E61*12/52/5*Public_Holidays!$O$6))*24)-60000)*5%)/(24),0),"")))</f>
      </c>
      <c r="F63" s="57">
        <f>IF(L61="W",IF((F61-(F61/5*Public_Holidays!$P$4))&gt;1154,((((F61-(F61/5*Public_Holidays!$P$4))*52)-60000)*5%)/(52),0),IF(L61="F",IF((F61-(F61/10*Public_Holidays!$P$5))&gt;2308,((((F61-(F61/10*Public_Holidays!$P$5))*26)-60000)*5%)/(26),0),""))</f>
      </c>
      <c r="G63" s="57">
        <f>IF(L61="W",IF((G61-(G61/5*Public_Holidays!$Q$4))&gt;1154,((((G61-(G61/5*Public_Holidays!$Q$4))*52)-60000)*5%)/(52),0),IF(L61="F",IF((G61-(G61/10*Public_Holidays!$Q$5))&gt;2308,((((G61-(G61/10*Public_Holidays!$Q$5))*26)-60000)*5%)/(26),0),""))</f>
      </c>
      <c r="H63" s="57">
        <f>IF(L61="W",IF((H61-(H61/5*Public_Holidays!$R$4))&gt;1154,((((H61-(H61/5*Public_Holidays!$R$4))*52)-60000)*5%)/(52),0),IF(L61="F",IF((H61-(H61/10*Public_Holidays!$R$5))&gt;2308,((((H61-(H61/10*Public_Holidays!$R$5))*26)-60000)*5%)/(26),0),IF(L61="B",IF((H61-(H61*12/52/5*Public_Holidays!$R$6))&gt;2500,((((H61-(H61*12/52/5*Public_Holidays!$R$6))*24)-60000)*5%)/(24),0),IF(L61="M",IF((H61-(H61*12/52/5*Public_Holidays!$R$3))&gt;5000,((((H61-(H61*12/52/5*Public_Holidays!$R$3))*12)-60000)*5%)/(12),0),""))))</f>
        <v>0</v>
      </c>
      <c r="I63" s="142"/>
      <c r="J63" s="142"/>
      <c r="K63" s="146"/>
      <c r="L63" s="149"/>
      <c r="M63" s="136"/>
    </row>
    <row r="64" spans="1:13" ht="12.75" customHeight="1">
      <c r="A64" s="131"/>
      <c r="B64" s="131"/>
      <c r="C64" s="59" t="s">
        <v>49</v>
      </c>
      <c r="D64" s="60"/>
      <c r="E64" s="60"/>
      <c r="F64" s="60"/>
      <c r="G64" s="60"/>
      <c r="H64" s="60"/>
      <c r="I64" s="140">
        <f>SUM(D64:H64)</f>
        <v>0</v>
      </c>
      <c r="J64" s="143">
        <f>SUM(D65:H66)</f>
        <v>0</v>
      </c>
      <c r="K64" s="144">
        <f>IF(L64="M",4,IF(L64="W",COUNTA(D64:H64),ROUND(COUNTA(D64:H64)*2,0)))</f>
        <v>4</v>
      </c>
      <c r="L64" s="147" t="s">
        <v>59</v>
      </c>
      <c r="M64" s="134"/>
    </row>
    <row r="65" spans="1:13" ht="12.75" customHeight="1">
      <c r="A65" s="132"/>
      <c r="B65" s="132"/>
      <c r="C65" s="56">
        <v>0.025</v>
      </c>
      <c r="D65" s="57">
        <f>IF(L64="W",IF((D64-(D64/5*Public_Holidays!$N$4))&gt;125,IF(((((D64-(D64/5*Public_Holidays!$N$4))*52)-6500)*2.5%)/(52)&gt;25.725,25.725,((((D64-(D64/5*Public_Holidays!$N$4))*52)-6500)*2.5%)/(52)),0),IF(L64="F",IF(D64&gt;250,IF((((D64*26)-6500)*2.5%)/(26)&gt;51.45,51.45,(((D64*26)-6500)*2.5%)/(26)),0),""))</f>
      </c>
      <c r="E65" s="57">
        <f>IF(L64="W",IF((E64-(E64/5*Public_Holidays!$O$4))&gt;125,IF(((((E64-(E64/5*Public_Holidays!$O$4))*52)-6500)*2.5%)/(52)&gt;25.725,25.725,((((E64-(E64/5*Public_Holidays!$O$4))*52)-6500)*2.5%)/(52)),0),IF(L64="F",IF((E64-(E64/10*Public_Holidays!$O$5))&gt;250,IF(((((E64-(E64/10*Public_Holidays!$O$5))*26)-6500)*2.5%)/(26)&gt;51.45,51.45,((((E64-(E64/10*Public_Holidays!$O$5))*26)-6500)*2.5%)/(26)),0),IF(L64="B",IF((E64-(E64*12/52/5*Public_Holidays!$O$6))&gt;270.84,IF(((((E64-(E64*12/52/5*Public_Holidays!$O$6))*24)-6500)*2.5%)/(24)&gt;55.729,55.729,((((E64-(E64*12/52/5*Public_Holidays!$O$6))*24)-6500)*2.5%)/(24)),0),"")))</f>
      </c>
      <c r="F65" s="57">
        <f>IF(L64="W",IF((F64-(F64/5*Public_Holidays!$P$4))&gt;125,IF(((((F64-(F64/5*Public_Holidays!$P$4))*52)-6500)*2.5%)/(52)&gt;25.725,25.725,((((F64-(F64/5*Public_Holidays!$P$4))*52)-6500)*2.5%)/(52)),0),IF(L64="F",IF((F64-(F64/10*Public_Holidays!$P$5))&gt;250,IF(((((F64-(F64/10*Public_Holidays!$P$5))*26)-6500)*2.5%)/(26)&gt;51.45,51.45,((((F64-(F64/10*Public_Holidays!$P$5))*26)-6500)*2.5%)/(26)),0),""))</f>
      </c>
      <c r="G65" s="57">
        <f>IF(L64="W",IF((G64-(G64/5*Public_Holidays!$Q$4))&gt;125,IF(((((G64-(G64/5*Public_Holidays!$Q$4))*52)-6500)*2.5%)/(52)&gt;25.725,25.725,((((G64-(G64/5*Public_Holidays!$Q$4))*52)-6500)*2.5%)/(52)),0),IF(L64="F",IF((G64-(G64/10*Public_Holidays!$Q$5))&gt;250,IF(((((G64-(G64/10*Public_Holidays!$Q$5))*26)-6500)*2.5%)/(26)&gt;51.45,51.45,((((G64-(G64/10*Public_Holidays!$Q$5))*26)-6500)*2.5%)/(26)),0),""))</f>
      </c>
      <c r="H65" s="57">
        <f>IF(L64="W",IF((H64-(H64/5*Public_Holidays!$R$4))&gt;125,IF(((((H64-(H64/5*Public_Holidays!$R$4))*52)-6500)*2.5%)/(52)&gt;25.725,25.725,((((H64-(H64/5*Public_Holidays!$R$4))*52)-6500)*2.5%)/(52)),0),IF(L64="F",IF((H64-(H64/10*Public_Holidays!$R$5))&gt;250,IF(((((H64-(H64/10*Public_Holidays!$R$5))*26)-6500)*2.5%)/(26)&gt;51.45,51.45,((((H64-(H64/10*Public_Holidays!$R$5))*26)-6500)*2.5%)/(26)),0),IF(L64="B",IF((H64-(H64*12/52/5*Public_Holidays!$R$6))&gt;270.84,IF(((((H64-(H64*12/52/5*Public_Holidays!$R$6))*24)-6500)*2.5%)/(24)&gt;55.729,55.729,((((H64-(H64*12/52/5*Public_Holidays!$R$6))*24)-6500)*2.5%)/(24)),0),IF(L64="M",IF((H64-(H64*12/52/5*Public_Holidays!$R$3))&gt;541.67,IF(((((H64-(H64*12/52/5*Public_Holidays!$R$3))*12)-6500)*2.5%)/(12)&gt;111.46,111.46,((((H64-(H64*12/52/5*Public_Holidays!$R$3))*12)-6500)*2.5%)/(12)),0),""))))</f>
        <v>0</v>
      </c>
      <c r="I65" s="141"/>
      <c r="J65" s="141"/>
      <c r="K65" s="145"/>
      <c r="L65" s="148"/>
      <c r="M65" s="135"/>
    </row>
    <row r="66" spans="1:13" ht="12.75" customHeight="1">
      <c r="A66" s="133"/>
      <c r="B66" s="133"/>
      <c r="C66" s="61">
        <v>0.05</v>
      </c>
      <c r="D66" s="57">
        <f>IF(L64="W",IF((D64-(D64/5*Public_Holidays!$N$4))&gt;1154,((((D64-(D64/5*Public_Holidays!$N$4))*52)-60000)*5%)/(52),0),IF(L64="F",IF(D64&gt;2308,(((D64*26)-60000)*5%)/(26),0),""))</f>
      </c>
      <c r="E66" s="57">
        <f>IF(L64="W",IF((E64-(E64/5*Public_Holidays!$O$4))&gt;1154,((((E64-(E64/5*Public_Holidays!$O$4))*52)-60000)*5%)/(52),0),IF(L64="F",IF((E64-(E64/10*Public_Holidays!$O$5))&gt;2308,((((E64-(E64/10*Public_Holidays!$O$5))*26)-60000)*5%)/(26),0),IF(L64="B",IF((E64-(E64*12/52/5*Public_Holidays!$O$6))&gt;2500,((((E64-(E64*12/52/5*Public_Holidays!$O$6))*24)-60000)*5%)/(24),0),"")))</f>
      </c>
      <c r="F66" s="57">
        <f>IF(L64="W",IF((F64-(F64/5*Public_Holidays!$P$4))&gt;1154,((((F64-(F64/5*Public_Holidays!$P$4))*52)-60000)*5%)/(52),0),IF(L64="F",IF((F64-(F64/10*Public_Holidays!$P$5))&gt;2308,((((F64-(F64/10*Public_Holidays!$P$5))*26)-60000)*5%)/(26),0),""))</f>
      </c>
      <c r="G66" s="57">
        <f>IF(L64="W",IF((G64-(G64/5*Public_Holidays!$Q$4))&gt;1154,((((G64-(G64/5*Public_Holidays!$Q$4))*52)-60000)*5%)/(52),0),IF(L64="F",IF((G64-(G64/10*Public_Holidays!$Q$5))&gt;2308,((((G64-(G64/10*Public_Holidays!$Q$5))*26)-60000)*5%)/(26),0),""))</f>
      </c>
      <c r="H66" s="57">
        <f>IF(L64="W",IF((H64-(H64/5*Public_Holidays!$R$4))&gt;1154,((((H64-(H64/5*Public_Holidays!$R$4))*52)-60000)*5%)/(52),0),IF(L64="F",IF((H64-(H64/10*Public_Holidays!$R$5))&gt;2308,((((H64-(H64/10*Public_Holidays!$R$5))*26)-60000)*5%)/(26),0),IF(L64="B",IF((H64-(H64*12/52/5*Public_Holidays!$R$6))&gt;2500,((((H64-(H64*12/52/5*Public_Holidays!$R$6))*24)-60000)*5%)/(24),0),IF(L64="M",IF((H64-(H64*12/52/5*Public_Holidays!$R$3))&gt;5000,((((H64-(H64*12/52/5*Public_Holidays!$R$3))*12)-60000)*5%)/(12),0),""))))</f>
        <v>0</v>
      </c>
      <c r="I66" s="142"/>
      <c r="J66" s="142"/>
      <c r="K66" s="146"/>
      <c r="L66" s="149"/>
      <c r="M66" s="136"/>
    </row>
    <row r="67" spans="1:13" ht="12.75" customHeight="1">
      <c r="A67" s="131"/>
      <c r="B67" s="131"/>
      <c r="C67" s="59" t="s">
        <v>49</v>
      </c>
      <c r="D67" s="60"/>
      <c r="E67" s="60"/>
      <c r="F67" s="60"/>
      <c r="G67" s="60"/>
      <c r="H67" s="60"/>
      <c r="I67" s="140">
        <f>SUM(D67:H67)</f>
        <v>0</v>
      </c>
      <c r="J67" s="143">
        <f>SUM(D68:H69)</f>
        <v>0</v>
      </c>
      <c r="K67" s="144">
        <f>IF(L67="M",4,IF(L67="W",COUNTA(D67:H67),ROUND(COUNTA(D67:H67)*2,0)))</f>
        <v>4</v>
      </c>
      <c r="L67" s="147" t="s">
        <v>59</v>
      </c>
      <c r="M67" s="134"/>
    </row>
    <row r="68" spans="1:13" ht="12.75" customHeight="1">
      <c r="A68" s="132"/>
      <c r="B68" s="132"/>
      <c r="C68" s="56">
        <v>0.025</v>
      </c>
      <c r="D68" s="57">
        <f>IF(L67="W",IF((D67-(D67/5*Public_Holidays!$N$4))&gt;125,IF(((((D67-(D67/5*Public_Holidays!$N$4))*52)-6500)*2.5%)/(52)&gt;25.725,25.725,((((D67-(D67/5*Public_Holidays!$N$4))*52)-6500)*2.5%)/(52)),0),IF(L67="F",IF(D67&gt;250,IF((((D67*26)-6500)*2.5%)/(26)&gt;51.45,51.45,(((D67*26)-6500)*2.5%)/(26)),0),""))</f>
      </c>
      <c r="E68" s="57">
        <f>IF(L67="W",IF((E67-(E67/5*Public_Holidays!$O$4))&gt;125,IF(((((E67-(E67/5*Public_Holidays!$O$4))*52)-6500)*2.5%)/(52)&gt;25.725,25.725,((((E67-(E67/5*Public_Holidays!$O$4))*52)-6500)*2.5%)/(52)),0),IF(L67="F",IF((E67-(E67/10*Public_Holidays!$O$5))&gt;250,IF(((((E67-(E67/10*Public_Holidays!$O$5))*26)-6500)*2.5%)/(26)&gt;51.45,51.45,((((E67-(E67/10*Public_Holidays!$O$5))*26)-6500)*2.5%)/(26)),0),IF(L67="B",IF((E67-(E67*12/52/5*Public_Holidays!$O$6))&gt;270.84,IF(((((E67-(E67*12/52/5*Public_Holidays!$O$6))*24)-6500)*2.5%)/(24)&gt;55.729,55.729,((((E67-(E67*12/52/5*Public_Holidays!$O$6))*24)-6500)*2.5%)/(24)),0),"")))</f>
      </c>
      <c r="F68" s="57">
        <f>IF(L67="W",IF((F67-(F67/5*Public_Holidays!$P$4))&gt;125,IF(((((F67-(F67/5*Public_Holidays!$P$4))*52)-6500)*2.5%)/(52)&gt;25.725,25.725,((((F67-(F67/5*Public_Holidays!$P$4))*52)-6500)*2.5%)/(52)),0),IF(L67="F",IF((F67-(F67/10*Public_Holidays!$P$5))&gt;250,IF(((((F67-(F67/10*Public_Holidays!$P$5))*26)-6500)*2.5%)/(26)&gt;51.45,51.45,((((F67-(F67/10*Public_Holidays!$P$5))*26)-6500)*2.5%)/(26)),0),""))</f>
      </c>
      <c r="G68" s="57">
        <f>IF(L67="W",IF((G67-(G67/5*Public_Holidays!$Q$4))&gt;125,IF(((((G67-(G67/5*Public_Holidays!$Q$4))*52)-6500)*2.5%)/(52)&gt;25.725,25.725,((((G67-(G67/5*Public_Holidays!$Q$4))*52)-6500)*2.5%)/(52)),0),IF(L67="F",IF((G67-(G67/10*Public_Holidays!$Q$5))&gt;250,IF(((((G67-(G67/10*Public_Holidays!$Q$5))*26)-6500)*2.5%)/(26)&gt;51.45,51.45,((((G67-(G67/10*Public_Holidays!$Q$5))*26)-6500)*2.5%)/(26)),0),""))</f>
      </c>
      <c r="H68" s="57">
        <f>IF(L67="W",IF((H67-(H67/5*Public_Holidays!$R$4))&gt;125,IF(((((H67-(H67/5*Public_Holidays!$R$4))*52)-6500)*2.5%)/(52)&gt;25.725,25.725,((((H67-(H67/5*Public_Holidays!$R$4))*52)-6500)*2.5%)/(52)),0),IF(L67="F",IF((H67-(H67/10*Public_Holidays!$R$5))&gt;250,IF(((((H67-(H67/10*Public_Holidays!$R$5))*26)-6500)*2.5%)/(26)&gt;51.45,51.45,((((H67-(H67/10*Public_Holidays!$R$5))*26)-6500)*2.5%)/(26)),0),IF(L67="B",IF((H67-(H67*12/52/5*Public_Holidays!$R$6))&gt;270.84,IF(((((H67-(H67*12/52/5*Public_Holidays!$R$6))*24)-6500)*2.5%)/(24)&gt;55.729,55.729,((((H67-(H67*12/52/5*Public_Holidays!$R$6))*24)-6500)*2.5%)/(24)),0),IF(L67="M",IF((H67-(H67*12/52/5*Public_Holidays!$R$3))&gt;541.67,IF(((((H67-(H67*12/52/5*Public_Holidays!$R$3))*12)-6500)*2.5%)/(12)&gt;111.46,111.46,((((H67-(H67*12/52/5*Public_Holidays!$R$3))*12)-6500)*2.5%)/(12)),0),""))))</f>
        <v>0</v>
      </c>
      <c r="I68" s="141"/>
      <c r="J68" s="141"/>
      <c r="K68" s="145"/>
      <c r="L68" s="148"/>
      <c r="M68" s="135"/>
    </row>
    <row r="69" spans="1:13" ht="12.75" customHeight="1">
      <c r="A69" s="133"/>
      <c r="B69" s="133"/>
      <c r="C69" s="61">
        <v>0.05</v>
      </c>
      <c r="D69" s="57">
        <f>IF(L67="W",IF((D67-(D67/5*Public_Holidays!$N$4))&gt;1154,((((D67-(D67/5*Public_Holidays!$N$4))*52)-60000)*5%)/(52),0),IF(L67="F",IF(D67&gt;2308,(((D67*26)-60000)*5%)/(26),0),""))</f>
      </c>
      <c r="E69" s="57">
        <f>IF(L67="W",IF((E67-(E67/5*Public_Holidays!$O$4))&gt;1154,((((E67-(E67/5*Public_Holidays!$O$4))*52)-60000)*5%)/(52),0),IF(L67="F",IF((E67-(E67/10*Public_Holidays!$O$5))&gt;2308,((((E67-(E67/10*Public_Holidays!$O$5))*26)-60000)*5%)/(26),0),IF(L67="B",IF((E67-(E67*12/52/5*Public_Holidays!$O$6))&gt;2500,((((E67-(E67*12/52/5*Public_Holidays!$O$6))*24)-60000)*5%)/(24),0),"")))</f>
      </c>
      <c r="F69" s="57">
        <f>IF(L67="W",IF((F67-(F67/5*Public_Holidays!$P$4))&gt;1154,((((F67-(F67/5*Public_Holidays!$P$4))*52)-60000)*5%)/(52),0),IF(L67="F",IF((F67-(F67/10*Public_Holidays!$P$5))&gt;2308,((((F67-(F67/10*Public_Holidays!$P$5))*26)-60000)*5%)/(26),0),""))</f>
      </c>
      <c r="G69" s="57">
        <f>IF(L67="W",IF((G67-(G67/5*Public_Holidays!$Q$4))&gt;1154,((((G67-(G67/5*Public_Holidays!$Q$4))*52)-60000)*5%)/(52),0),IF(L67="F",IF((G67-(G67/10*Public_Holidays!$Q$5))&gt;2308,((((G67-(G67/10*Public_Holidays!$Q$5))*26)-60000)*5%)/(26),0),""))</f>
      </c>
      <c r="H69" s="57">
        <f>IF(L67="W",IF((H67-(H67/5*Public_Holidays!$R$4))&gt;1154,((((H67-(H67/5*Public_Holidays!$R$4))*52)-60000)*5%)/(52),0),IF(L67="F",IF((H67-(H67/10*Public_Holidays!$R$5))&gt;2308,((((H67-(H67/10*Public_Holidays!$R$5))*26)-60000)*5%)/(26),0),IF(L67="B",IF((H67-(H67*12/52/5*Public_Holidays!$R$6))&gt;2500,((((H67-(H67*12/52/5*Public_Holidays!$R$6))*24)-60000)*5%)/(24),0),IF(L67="M",IF((H67-(H67*12/52/5*Public_Holidays!$R$3))&gt;5000,((((H67-(H67*12/52/5*Public_Holidays!$R$3))*12)-60000)*5%)/(12),0),""))))</f>
        <v>0</v>
      </c>
      <c r="I69" s="142"/>
      <c r="J69" s="142"/>
      <c r="K69" s="146"/>
      <c r="L69" s="149"/>
      <c r="M69" s="136"/>
    </row>
    <row r="70" spans="1:13" ht="12.75" customHeight="1">
      <c r="A70" s="131"/>
      <c r="B70" s="131"/>
      <c r="C70" s="59" t="s">
        <v>49</v>
      </c>
      <c r="D70" s="60"/>
      <c r="E70" s="60"/>
      <c r="F70" s="60"/>
      <c r="G70" s="60"/>
      <c r="H70" s="60"/>
      <c r="I70" s="140">
        <f>SUM(D70:H70)</f>
        <v>0</v>
      </c>
      <c r="J70" s="143">
        <f>SUM(D71:H72)</f>
        <v>0</v>
      </c>
      <c r="K70" s="144">
        <f>IF(L70="M",4,IF(L70="W",COUNTA(D70:H70),ROUND(COUNTA(D70:H70)*2,0)))</f>
        <v>4</v>
      </c>
      <c r="L70" s="147" t="s">
        <v>59</v>
      </c>
      <c r="M70" s="134"/>
    </row>
    <row r="71" spans="1:13" ht="12.75" customHeight="1">
      <c r="A71" s="132"/>
      <c r="B71" s="132"/>
      <c r="C71" s="56">
        <v>0.025</v>
      </c>
      <c r="D71" s="57">
        <f>IF(L70="W",IF((D70-(D70/5*Public_Holidays!$N$4))&gt;125,IF(((((D70-(D70/5*Public_Holidays!$N$4))*52)-6500)*2.5%)/(52)&gt;25.725,25.725,((((D70-(D70/5*Public_Holidays!$N$4))*52)-6500)*2.5%)/(52)),0),IF(L70="F",IF(D70&gt;250,IF((((D70*26)-6500)*2.5%)/(26)&gt;51.45,51.45,(((D70*26)-6500)*2.5%)/(26)),0),""))</f>
      </c>
      <c r="E71" s="57">
        <f>IF(L70="W",IF((E70-(E70/5*Public_Holidays!$O$4))&gt;125,IF(((((E70-(E70/5*Public_Holidays!$O$4))*52)-6500)*2.5%)/(52)&gt;25.725,25.725,((((E70-(E70/5*Public_Holidays!$O$4))*52)-6500)*2.5%)/(52)),0),IF(L70="F",IF((E70-(E70/10*Public_Holidays!$O$5))&gt;250,IF(((((E70-(E70/10*Public_Holidays!$O$5))*26)-6500)*2.5%)/(26)&gt;51.45,51.45,((((E70-(E70/10*Public_Holidays!$O$5))*26)-6500)*2.5%)/(26)),0),IF(L70="B",IF((E70-(E70*12/52/5*Public_Holidays!$O$6))&gt;270.84,IF(((((E70-(E70*12/52/5*Public_Holidays!$O$6))*24)-6500)*2.5%)/(24)&gt;55.729,55.729,((((E70-(E70*12/52/5*Public_Holidays!$O$6))*24)-6500)*2.5%)/(24)),0),"")))</f>
      </c>
      <c r="F71" s="57">
        <f>IF(L70="W",IF((F70-(F70/5*Public_Holidays!$P$4))&gt;125,IF(((((F70-(F70/5*Public_Holidays!$P$4))*52)-6500)*2.5%)/(52)&gt;25.725,25.725,((((F70-(F70/5*Public_Holidays!$P$4))*52)-6500)*2.5%)/(52)),0),IF(L70="F",IF((F70-(F70/10*Public_Holidays!$P$5))&gt;250,IF(((((F70-(F70/10*Public_Holidays!$P$5))*26)-6500)*2.5%)/(26)&gt;51.45,51.45,((((F70-(F70/10*Public_Holidays!$P$5))*26)-6500)*2.5%)/(26)),0),""))</f>
      </c>
      <c r="G71" s="57">
        <f>IF(L70="W",IF((G70-(G70/5*Public_Holidays!$Q$4))&gt;125,IF(((((G70-(G70/5*Public_Holidays!$Q$4))*52)-6500)*2.5%)/(52)&gt;25.725,25.725,((((G70-(G70/5*Public_Holidays!$Q$4))*52)-6500)*2.5%)/(52)),0),IF(L70="F",IF((G70-(G70/10*Public_Holidays!$Q$5))&gt;250,IF(((((G70-(G70/10*Public_Holidays!$Q$5))*26)-6500)*2.5%)/(26)&gt;51.45,51.45,((((G70-(G70/10*Public_Holidays!$Q$5))*26)-6500)*2.5%)/(26)),0),""))</f>
      </c>
      <c r="H71" s="57">
        <f>IF(L70="W",IF((H70-(H70/5*Public_Holidays!$R$4))&gt;125,IF(((((H70-(H70/5*Public_Holidays!$R$4))*52)-6500)*2.5%)/(52)&gt;25.725,25.725,((((H70-(H70/5*Public_Holidays!$R$4))*52)-6500)*2.5%)/(52)),0),IF(L70="F",IF((H70-(H70/10*Public_Holidays!$R$5))&gt;250,IF(((((H70-(H70/10*Public_Holidays!$R$5))*26)-6500)*2.5%)/(26)&gt;51.45,51.45,((((H70-(H70/10*Public_Holidays!$R$5))*26)-6500)*2.5%)/(26)),0),IF(L70="B",IF((H70-(H70*12/52/5*Public_Holidays!$R$6))&gt;270.84,IF(((((H70-(H70*12/52/5*Public_Holidays!$R$6))*24)-6500)*2.5%)/(24)&gt;55.729,55.729,((((H70-(H70*12/52/5*Public_Holidays!$R$6))*24)-6500)*2.5%)/(24)),0),IF(L70="M",IF((H70-(H70*12/52/5*Public_Holidays!$R$3))&gt;541.67,IF(((((H70-(H70*12/52/5*Public_Holidays!$R$3))*12)-6500)*2.5%)/(12)&gt;111.46,111.46,((((H70-(H70*12/52/5*Public_Holidays!$R$3))*12)-6500)*2.5%)/(12)),0),""))))</f>
        <v>0</v>
      </c>
      <c r="I71" s="141"/>
      <c r="J71" s="141"/>
      <c r="K71" s="145"/>
      <c r="L71" s="148"/>
      <c r="M71" s="135"/>
    </row>
    <row r="72" spans="1:13" ht="12.75" customHeight="1">
      <c r="A72" s="133"/>
      <c r="B72" s="133"/>
      <c r="C72" s="61">
        <v>0.05</v>
      </c>
      <c r="D72" s="57">
        <f>IF(L70="W",IF((D70-(D70/5*Public_Holidays!$N$4))&gt;1154,((((D70-(D70/5*Public_Holidays!$N$4))*52)-60000)*5%)/(52),0),IF(L70="F",IF(D70&gt;2308,(((D70*26)-60000)*5%)/(26),0),""))</f>
      </c>
      <c r="E72" s="57">
        <f>IF(L70="W",IF((E70-(E70/5*Public_Holidays!$O$4))&gt;1154,((((E70-(E70/5*Public_Holidays!$O$4))*52)-60000)*5%)/(52),0),IF(L70="F",IF((E70-(E70/10*Public_Holidays!$O$5))&gt;2308,((((E70-(E70/10*Public_Holidays!$O$5))*26)-60000)*5%)/(26),0),IF(L70="B",IF((E70-(E70*12/52/5*Public_Holidays!$O$6))&gt;2500,((((E70-(E70*12/52/5*Public_Holidays!$O$6))*24)-60000)*5%)/(24),0),"")))</f>
      </c>
      <c r="F72" s="57">
        <f>IF(L70="W",IF((F70-(F70/5*Public_Holidays!$P$4))&gt;1154,((((F70-(F70/5*Public_Holidays!$P$4))*52)-60000)*5%)/(52),0),IF(L70="F",IF((F70-(F70/10*Public_Holidays!$P$5))&gt;2308,((((F70-(F70/10*Public_Holidays!$P$5))*26)-60000)*5%)/(26),0),""))</f>
      </c>
      <c r="G72" s="57">
        <f>IF(L70="W",IF((G70-(G70/5*Public_Holidays!$Q$4))&gt;1154,((((G70-(G70/5*Public_Holidays!$Q$4))*52)-60000)*5%)/(52),0),IF(L70="F",IF((G70-(G70/10*Public_Holidays!$Q$5))&gt;2308,((((G70-(G70/10*Public_Holidays!$Q$5))*26)-60000)*5%)/(26),0),""))</f>
      </c>
      <c r="H72" s="57">
        <f>IF(L70="W",IF((H70-(H70/5*Public_Holidays!$R$4))&gt;1154,((((H70-(H70/5*Public_Holidays!$R$4))*52)-60000)*5%)/(52),0),IF(L70="F",IF((H70-(H70/10*Public_Holidays!$R$5))&gt;2308,((((H70-(H70/10*Public_Holidays!$R$5))*26)-60000)*5%)/(26),0),IF(L70="B",IF((H70-(H70*12/52/5*Public_Holidays!$R$6))&gt;2500,((((H70-(H70*12/52/5*Public_Holidays!$R$6))*24)-60000)*5%)/(24),0),IF(L70="M",IF((H70-(H70*12/52/5*Public_Holidays!$R$3))&gt;5000,((((H70-(H70*12/52/5*Public_Holidays!$R$3))*12)-60000)*5%)/(12),0),""))))</f>
        <v>0</v>
      </c>
      <c r="I72" s="142"/>
      <c r="J72" s="142"/>
      <c r="K72" s="146"/>
      <c r="L72" s="149"/>
      <c r="M72" s="136"/>
    </row>
    <row r="73" spans="1:13" ht="12.75" customHeight="1">
      <c r="A73" s="62" t="s">
        <v>60</v>
      </c>
      <c r="B73" s="63"/>
      <c r="C73" s="63"/>
      <c r="D73" s="64"/>
      <c r="E73" s="64"/>
      <c r="F73" s="64"/>
      <c r="G73" s="64"/>
      <c r="H73" s="64"/>
      <c r="I73" s="65">
        <f>SUM(I33,I55:I70)</f>
        <v>0</v>
      </c>
      <c r="J73" s="65">
        <f>SUM(J33,J55:J70)</f>
        <v>0</v>
      </c>
      <c r="K73" s="63"/>
      <c r="L73" s="63"/>
      <c r="M73" s="63"/>
    </row>
    <row r="74" spans="1:13" ht="12.75" customHeight="1">
      <c r="A74" s="66"/>
      <c r="G74" s="137" t="s">
        <v>93</v>
      </c>
      <c r="H74" s="138"/>
      <c r="I74" s="138"/>
      <c r="J74" s="138"/>
      <c r="K74" s="138"/>
      <c r="L74" s="138"/>
      <c r="M74" s="138"/>
    </row>
    <row r="75" spans="1:13" ht="12.75" customHeight="1">
      <c r="A75" s="67" t="s">
        <v>61</v>
      </c>
      <c r="G75" s="139"/>
      <c r="H75" s="139"/>
      <c r="I75" s="139"/>
      <c r="J75" s="139"/>
      <c r="K75" s="139"/>
      <c r="L75" s="139"/>
      <c r="M75" s="139"/>
    </row>
    <row r="76" spans="1:13" ht="12.75" customHeight="1">
      <c r="A76" s="67" t="s">
        <v>96</v>
      </c>
      <c r="B76" s="120" t="str">
        <f>B36</f>
        <v>   JANE DOE</v>
      </c>
      <c r="G76" s="139"/>
      <c r="H76" s="139"/>
      <c r="I76" s="139"/>
      <c r="J76" s="139"/>
      <c r="K76" s="139"/>
      <c r="L76" s="139"/>
      <c r="M76" s="139"/>
    </row>
    <row r="77" spans="4:13" ht="12.75" customHeight="1">
      <c r="D77" s="67" t="s">
        <v>62</v>
      </c>
      <c r="E77" s="129">
        <f ca="1">TODAY()</f>
        <v>45341</v>
      </c>
      <c r="G77" s="139"/>
      <c r="H77" s="139"/>
      <c r="I77" s="139"/>
      <c r="J77" s="139"/>
      <c r="K77" s="139"/>
      <c r="L77" s="139"/>
      <c r="M77" s="139"/>
    </row>
    <row r="78" spans="1:13" ht="12.75" customHeight="1">
      <c r="A78" s="67" t="s">
        <v>97</v>
      </c>
      <c r="G78" s="139"/>
      <c r="H78" s="139"/>
      <c r="I78" s="139"/>
      <c r="J78" s="139"/>
      <c r="K78" s="139"/>
      <c r="L78" s="139"/>
      <c r="M78" s="139"/>
    </row>
    <row r="79" spans="7:13" ht="12.75">
      <c r="G79" s="139"/>
      <c r="H79" s="139"/>
      <c r="I79" s="139"/>
      <c r="J79" s="139"/>
      <c r="K79" s="139"/>
      <c r="L79" s="139"/>
      <c r="M79" s="139"/>
    </row>
  </sheetData>
  <sheetProtection password="8783" sheet="1" objects="1" scenarios="1" selectLockedCells="1"/>
  <mergeCells count="102">
    <mergeCell ref="M18:M20"/>
    <mergeCell ref="L24:L26"/>
    <mergeCell ref="M24:M26"/>
    <mergeCell ref="B18:B20"/>
    <mergeCell ref="I18:I20"/>
    <mergeCell ref="M11:M14"/>
    <mergeCell ref="L21:L23"/>
    <mergeCell ref="K18:K20"/>
    <mergeCell ref="L18:L20"/>
    <mergeCell ref="A15:A17"/>
    <mergeCell ref="B15:B17"/>
    <mergeCell ref="I15:I17"/>
    <mergeCell ref="J15:J17"/>
    <mergeCell ref="K15:K17"/>
    <mergeCell ref="M15:M17"/>
    <mergeCell ref="A11:A14"/>
    <mergeCell ref="B11:B14"/>
    <mergeCell ref="K11:K14"/>
    <mergeCell ref="J18:J20"/>
    <mergeCell ref="A18:A20"/>
    <mergeCell ref="K21:K23"/>
    <mergeCell ref="D11:D14"/>
    <mergeCell ref="F11:F14"/>
    <mergeCell ref="G11:G14"/>
    <mergeCell ref="J11:J14"/>
    <mergeCell ref="F51:F54"/>
    <mergeCell ref="L15:L17"/>
    <mergeCell ref="M21:M23"/>
    <mergeCell ref="A24:A26"/>
    <mergeCell ref="B24:B26"/>
    <mergeCell ref="I24:I26"/>
    <mergeCell ref="J24:J26"/>
    <mergeCell ref="K24:K26"/>
    <mergeCell ref="A21:A23"/>
    <mergeCell ref="B21:B23"/>
    <mergeCell ref="K27:K29"/>
    <mergeCell ref="M27:M29"/>
    <mergeCell ref="J21:J23"/>
    <mergeCell ref="M51:M54"/>
    <mergeCell ref="L30:L32"/>
    <mergeCell ref="M30:M32"/>
    <mergeCell ref="G34:M39"/>
    <mergeCell ref="I21:I23"/>
    <mergeCell ref="A30:A32"/>
    <mergeCell ref="B30:B32"/>
    <mergeCell ref="I30:I32"/>
    <mergeCell ref="J30:J32"/>
    <mergeCell ref="K30:K32"/>
    <mergeCell ref="L27:L29"/>
    <mergeCell ref="A27:A29"/>
    <mergeCell ref="B27:B29"/>
    <mergeCell ref="I27:I29"/>
    <mergeCell ref="J27:J29"/>
    <mergeCell ref="B55:B57"/>
    <mergeCell ref="I55:I57"/>
    <mergeCell ref="J55:J57"/>
    <mergeCell ref="K55:K57"/>
    <mergeCell ref="L55:L57"/>
    <mergeCell ref="G51:G54"/>
    <mergeCell ref="J51:J54"/>
    <mergeCell ref="K51:K54"/>
    <mergeCell ref="B51:B54"/>
    <mergeCell ref="D51:D54"/>
    <mergeCell ref="A51:A54"/>
    <mergeCell ref="M55:M57"/>
    <mergeCell ref="A58:A60"/>
    <mergeCell ref="B58:B60"/>
    <mergeCell ref="I58:I60"/>
    <mergeCell ref="J58:J60"/>
    <mergeCell ref="K58:K60"/>
    <mergeCell ref="L58:L60"/>
    <mergeCell ref="M58:M60"/>
    <mergeCell ref="A55:A57"/>
    <mergeCell ref="A61:A63"/>
    <mergeCell ref="B61:B63"/>
    <mergeCell ref="I61:I63"/>
    <mergeCell ref="J61:J63"/>
    <mergeCell ref="K61:K63"/>
    <mergeCell ref="L61:L63"/>
    <mergeCell ref="A64:A66"/>
    <mergeCell ref="B64:B66"/>
    <mergeCell ref="I64:I66"/>
    <mergeCell ref="J64:J66"/>
    <mergeCell ref="K64:K66"/>
    <mergeCell ref="L64:L66"/>
    <mergeCell ref="I67:I69"/>
    <mergeCell ref="J67:J69"/>
    <mergeCell ref="K67:K69"/>
    <mergeCell ref="L67:L69"/>
    <mergeCell ref="M61:M63"/>
    <mergeCell ref="M64:M66"/>
    <mergeCell ref="M67:M69"/>
    <mergeCell ref="A67:A69"/>
    <mergeCell ref="M70:M72"/>
    <mergeCell ref="G74:M79"/>
    <mergeCell ref="A70:A72"/>
    <mergeCell ref="B70:B72"/>
    <mergeCell ref="I70:I72"/>
    <mergeCell ref="J70:J72"/>
    <mergeCell ref="K70:K72"/>
    <mergeCell ref="L70:L72"/>
    <mergeCell ref="B67:B69"/>
  </mergeCells>
  <dataValidations count="7">
    <dataValidation type="list" allowBlank="1" showInputMessage="1" showErrorMessage="1" sqref="L55:L72 L18:L32">
      <formula1>$L$11:$L$14</formula1>
    </dataValidation>
    <dataValidation allowBlank="1" showInputMessage="1" showErrorMessage="1" prompt="Social Security Number" sqref="A15:A17"/>
    <dataValidation allowBlank="1" showInputMessage="1" showErrorMessage="1" prompt="Name" sqref="B15:B17"/>
    <dataValidation allowBlank="1" showInputMessage="1" showErrorMessage="1" prompt="Weekly/Fortnightly Wage" sqref="D15 F15:G15"/>
    <dataValidation allowBlank="1" showInputMessage="1" showErrorMessage="1" prompt="Weekly/Fortnightly/Bi-Monthly Wage" sqref="E15"/>
    <dataValidation allowBlank="1" showInputMessage="1" showErrorMessage="1" prompt="Weekly/Fortnightly/Bi-Monthly/ Monthly" sqref="H15"/>
    <dataValidation type="list" allowBlank="1" showInputMessage="1" showErrorMessage="1" prompt="Pay Type" sqref="L15:L17">
      <formula1>$L$11:$L$14</formula1>
    </dataValidation>
  </dataValidations>
  <printOptions/>
  <pageMargins left="0.7" right="0.75" top="0.72" bottom="0.67" header="0.5" footer="0.5"/>
  <pageSetup horizontalDpi="300" verticalDpi="300" orientation="landscape" paperSize="5" r:id="rId3"/>
  <headerFooter alignWithMargins="0">
    <oddHeader>&amp;C
&amp;G</oddHeader>
    <oddFooter>&amp;CPage &amp;P of &amp;N</oddFooter>
  </headerFooter>
  <ignoredErrors>
    <ignoredError sqref="E5 E7" unlocked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Antigua Computer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 Rental</dc:creator>
  <cp:keywords/>
  <dc:description/>
  <cp:lastModifiedBy>Valarie V.D. Daniel</cp:lastModifiedBy>
  <cp:lastPrinted>2022-09-12T15:38:34Z</cp:lastPrinted>
  <dcterms:created xsi:type="dcterms:W3CDTF">2004-04-20T16:42:27Z</dcterms:created>
  <dcterms:modified xsi:type="dcterms:W3CDTF">2024-02-19T16:19:33Z</dcterms:modified>
  <cp:category/>
  <cp:version/>
  <cp:contentType/>
  <cp:contentStatus/>
</cp:coreProperties>
</file>